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3"/>
  <workbookPr/>
  <mc:AlternateContent xmlns:mc="http://schemas.openxmlformats.org/markup-compatibility/2006">
    <mc:Choice Requires="x15">
      <x15ac:absPath xmlns:x15ac="http://schemas.microsoft.com/office/spreadsheetml/2010/11/ac" url="https://mn365-my.sharepoint.com/personal/linnea_pignatello_state_mn_us/Documents/NHWSB/Meetings/Workgroups/Waivers and Variances/Waiver Resources/"/>
    </mc:Choice>
  </mc:AlternateContent>
  <xr:revisionPtr revIDLastSave="0" documentId="8_{FE8B0DFF-B8B7-4CE0-90F3-925921621B81}" xr6:coauthVersionLast="47" xr6:coauthVersionMax="47" xr10:uidLastSave="{00000000-0000-0000-0000-000000000000}"/>
  <workbookProtection workbookAlgorithmName="SHA-512" workbookHashValue="tYUUjLd90T/YOVJ30b/yGrYMBnlgeJEQ7oZzDNClMDEtmK1mtVFh+mSd4MrQACgoTKwyl3DZoQR3UkWlzEn7rA==" workbookSaltValue="v41vS+rXQ4wKzCoigcctvw==" workbookSpinCount="100000" lockStructure="1"/>
  <bookViews>
    <workbookView xWindow="-108" yWindow="-108" windowWidth="23256" windowHeight="12456" tabRatio="822" xr2:uid="{40FD6A79-60A3-42B6-8848-F2E2A767C199}"/>
  </bookViews>
  <sheets>
    <sheet name="Facility Info Input" sheetId="10" r:id="rId1"/>
    <sheet name="Employee Payroll Input" sheetId="1" r:id="rId2"/>
    <sheet name="Contracted Staff Payroll Input" sheetId="2" r:id="rId3"/>
    <sheet name="Lists" sheetId="6" state="hidden" r:id="rId4"/>
    <sheet name="Facility Data" sheetId="7" state="hidden" r:id="rId5"/>
    <sheet name="Hospital" sheetId="14" state="hidden" r:id="rId6"/>
    <sheet name="Facility Res Days" sheetId="8" state="hidden" r:id="rId7"/>
    <sheet name="Facility Employees" sheetId="13" state="hidden" r:id="rId8"/>
  </sheets>
  <definedNames>
    <definedName name="_xlnm._FilterDatabase" localSheetId="4" hidden="1">'Facility Data'!$A$1:$AK$334</definedName>
    <definedName name="_xlnm.Print_Area" localSheetId="0">'Facility Info Input'!$A$1:$G$38</definedName>
    <definedName name="_xlnm.Print_Titles" localSheetId="2">'Contracted Staff Payroll Input'!$1:$1</definedName>
    <definedName name="_xlnm.Print_Titles" localSheetId="1">'Employee Payroll Input'!$1:$1</definedName>
    <definedName name="_xlnm.Print_Titles" localSheetId="0">'Facility Info Input'!$1:$4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319" i="2"/>
  <c r="M320" i="2"/>
  <c r="M321" i="2"/>
  <c r="M322" i="2"/>
  <c r="M323" i="2"/>
  <c r="M324" i="2"/>
  <c r="M325" i="2"/>
  <c r="M326" i="2"/>
  <c r="M327" i="2"/>
  <c r="M328" i="2"/>
  <c r="M329" i="2"/>
  <c r="M330" i="2"/>
  <c r="M331" i="2"/>
  <c r="M332" i="2"/>
  <c r="M333" i="2"/>
  <c r="M334" i="2"/>
  <c r="M335" i="2"/>
  <c r="M336" i="2"/>
  <c r="M337" i="2"/>
  <c r="M338" i="2"/>
  <c r="M339" i="2"/>
  <c r="M340" i="2"/>
  <c r="M341" i="2"/>
  <c r="M342" i="2"/>
  <c r="M343" i="2"/>
  <c r="M344" i="2"/>
  <c r="M345" i="2"/>
  <c r="M346" i="2"/>
  <c r="M347" i="2"/>
  <c r="M348" i="2"/>
  <c r="M349" i="2"/>
  <c r="M350" i="2"/>
  <c r="M351" i="2"/>
  <c r="M352" i="2"/>
  <c r="M353" i="2"/>
  <c r="M354" i="2"/>
  <c r="M355" i="2"/>
  <c r="M356" i="2"/>
  <c r="M357" i="2"/>
  <c r="M358" i="2"/>
  <c r="M359" i="2"/>
  <c r="M360" i="2"/>
  <c r="M361" i="2"/>
  <c r="M362" i="2"/>
  <c r="M363" i="2"/>
  <c r="M364" i="2"/>
  <c r="M365" i="2"/>
  <c r="M366" i="2"/>
  <c r="M367" i="2"/>
  <c r="M368" i="2"/>
  <c r="M369" i="2"/>
  <c r="M370" i="2"/>
  <c r="M371" i="2"/>
  <c r="M372" i="2"/>
  <c r="M373" i="2"/>
  <c r="M374" i="2"/>
  <c r="M375" i="2"/>
  <c r="M376" i="2"/>
  <c r="M377" i="2"/>
  <c r="M378" i="2"/>
  <c r="M379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2" i="2"/>
  <c r="B14" i="10"/>
  <c r="F12" i="10" s="1"/>
  <c r="M22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8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79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6" i="1"/>
  <c r="M207" i="1"/>
  <c r="M208" i="1"/>
  <c r="M209" i="1"/>
  <c r="M210" i="1"/>
  <c r="M211" i="1"/>
  <c r="M212" i="1"/>
  <c r="M213" i="1"/>
  <c r="M214" i="1"/>
  <c r="M215" i="1"/>
  <c r="M216" i="1"/>
  <c r="M217" i="1"/>
  <c r="M218" i="1"/>
  <c r="M219" i="1"/>
  <c r="M220" i="1"/>
  <c r="M221" i="1"/>
  <c r="M222" i="1"/>
  <c r="M223" i="1"/>
  <c r="M224" i="1"/>
  <c r="M225" i="1"/>
  <c r="M226" i="1"/>
  <c r="M227" i="1"/>
  <c r="M228" i="1"/>
  <c r="M229" i="1"/>
  <c r="M230" i="1"/>
  <c r="M231" i="1"/>
  <c r="M232" i="1"/>
  <c r="M233" i="1"/>
  <c r="M234" i="1"/>
  <c r="M235" i="1"/>
  <c r="M236" i="1"/>
  <c r="M237" i="1"/>
  <c r="M238" i="1"/>
  <c r="M239" i="1"/>
  <c r="M240" i="1"/>
  <c r="M241" i="1"/>
  <c r="M242" i="1"/>
  <c r="M243" i="1"/>
  <c r="M244" i="1"/>
  <c r="M245" i="1"/>
  <c r="M246" i="1"/>
  <c r="M247" i="1"/>
  <c r="M248" i="1"/>
  <c r="M249" i="1"/>
  <c r="M250" i="1"/>
  <c r="M251" i="1"/>
  <c r="M252" i="1"/>
  <c r="M253" i="1"/>
  <c r="M254" i="1"/>
  <c r="M255" i="1"/>
  <c r="M256" i="1"/>
  <c r="M257" i="1"/>
  <c r="M258" i="1"/>
  <c r="M259" i="1"/>
  <c r="M260" i="1"/>
  <c r="M261" i="1"/>
  <c r="M262" i="1"/>
  <c r="M263" i="1"/>
  <c r="M264" i="1"/>
  <c r="M265" i="1"/>
  <c r="M266" i="1"/>
  <c r="M267" i="1"/>
  <c r="M268" i="1"/>
  <c r="M269" i="1"/>
  <c r="M270" i="1"/>
  <c r="M271" i="1"/>
  <c r="M272" i="1"/>
  <c r="M273" i="1"/>
  <c r="M274" i="1"/>
  <c r="M275" i="1"/>
  <c r="M276" i="1"/>
  <c r="M277" i="1"/>
  <c r="M278" i="1"/>
  <c r="M279" i="1"/>
  <c r="M280" i="1"/>
  <c r="M281" i="1"/>
  <c r="M282" i="1"/>
  <c r="M283" i="1"/>
  <c r="M284" i="1"/>
  <c r="M285" i="1"/>
  <c r="M286" i="1"/>
  <c r="M287" i="1"/>
  <c r="M288" i="1"/>
  <c r="M289" i="1"/>
  <c r="M290" i="1"/>
  <c r="M291" i="1"/>
  <c r="M292" i="1"/>
  <c r="M293" i="1"/>
  <c r="M294" i="1"/>
  <c r="M295" i="1"/>
  <c r="M296" i="1"/>
  <c r="M297" i="1"/>
  <c r="M298" i="1"/>
  <c r="M299" i="1"/>
  <c r="M300" i="1"/>
  <c r="M301" i="1"/>
  <c r="M302" i="1"/>
  <c r="M303" i="1"/>
  <c r="M304" i="1"/>
  <c r="M305" i="1"/>
  <c r="M306" i="1"/>
  <c r="M307" i="1"/>
  <c r="M308" i="1"/>
  <c r="M309" i="1"/>
  <c r="M310" i="1"/>
  <c r="M311" i="1"/>
  <c r="M312" i="1"/>
  <c r="M313" i="1"/>
  <c r="M314" i="1"/>
  <c r="M315" i="1"/>
  <c r="M316" i="1"/>
  <c r="M317" i="1"/>
  <c r="M318" i="1"/>
  <c r="M319" i="1"/>
  <c r="M320" i="1"/>
  <c r="M321" i="1"/>
  <c r="M322" i="1"/>
  <c r="M323" i="1"/>
  <c r="M324" i="1"/>
  <c r="M325" i="1"/>
  <c r="M326" i="1"/>
  <c r="M327" i="1"/>
  <c r="M328" i="1"/>
  <c r="M329" i="1"/>
  <c r="M330" i="1"/>
  <c r="M331" i="1"/>
  <c r="M332" i="1"/>
  <c r="M333" i="1"/>
  <c r="M334" i="1"/>
  <c r="M335" i="1"/>
  <c r="M336" i="1"/>
  <c r="M337" i="1"/>
  <c r="M338" i="1"/>
  <c r="M339" i="1"/>
  <c r="M340" i="1"/>
  <c r="M341" i="1"/>
  <c r="M342" i="1"/>
  <c r="M343" i="1"/>
  <c r="M344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7" i="1"/>
  <c r="M358" i="1"/>
  <c r="M359" i="1"/>
  <c r="M360" i="1"/>
  <c r="M361" i="1"/>
  <c r="M362" i="1"/>
  <c r="M363" i="1"/>
  <c r="M364" i="1"/>
  <c r="M365" i="1"/>
  <c r="M366" i="1"/>
  <c r="M367" i="1"/>
  <c r="M368" i="1"/>
  <c r="M369" i="1"/>
  <c r="M370" i="1"/>
  <c r="M371" i="1"/>
  <c r="M372" i="1"/>
  <c r="M373" i="1"/>
  <c r="M374" i="1"/>
  <c r="M375" i="1"/>
  <c r="M376" i="1"/>
  <c r="M377" i="1"/>
  <c r="M378" i="1"/>
  <c r="M379" i="1"/>
  <c r="M380" i="1"/>
  <c r="M381" i="1"/>
  <c r="M382" i="1"/>
  <c r="M383" i="1"/>
  <c r="M384" i="1"/>
  <c r="M385" i="1"/>
  <c r="M386" i="1"/>
  <c r="M387" i="1"/>
  <c r="M388" i="1"/>
  <c r="M389" i="1"/>
  <c r="M390" i="1"/>
  <c r="M391" i="1"/>
  <c r="M392" i="1"/>
  <c r="M393" i="1"/>
  <c r="M394" i="1"/>
  <c r="M395" i="1"/>
  <c r="M396" i="1"/>
  <c r="M397" i="1"/>
  <c r="M398" i="1"/>
  <c r="M399" i="1"/>
  <c r="M400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F11" i="10" l="1"/>
  <c r="P2" i="2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9" i="1"/>
  <c r="I10" i="1"/>
  <c r="I11" i="1"/>
  <c r="I12" i="1"/>
  <c r="I13" i="1"/>
  <c r="I14" i="1"/>
  <c r="I15" i="1"/>
  <c r="I16" i="1"/>
  <c r="I17" i="1"/>
  <c r="I3" i="1"/>
  <c r="I2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I4" i="1"/>
  <c r="I5" i="1"/>
  <c r="I6" i="1"/>
  <c r="I7" i="1"/>
  <c r="I8" i="1"/>
  <c r="O4" i="6" l="1" a="1"/>
  <c r="O4" i="6" s="1"/>
  <c r="V3" i="2"/>
  <c r="V4" i="2"/>
  <c r="V5" i="2"/>
  <c r="V6" i="2"/>
  <c r="V9" i="2"/>
  <c r="V11" i="2"/>
  <c r="V12" i="2"/>
  <c r="V13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3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59" i="2"/>
  <c r="V260" i="2"/>
  <c r="V261" i="2"/>
  <c r="V262" i="2"/>
  <c r="V263" i="2"/>
  <c r="V264" i="2"/>
  <c r="V265" i="2"/>
  <c r="V266" i="2"/>
  <c r="V267" i="2"/>
  <c r="V268" i="2"/>
  <c r="V269" i="2"/>
  <c r="V270" i="2"/>
  <c r="V271" i="2"/>
  <c r="V272" i="2"/>
  <c r="V273" i="2"/>
  <c r="V274" i="2"/>
  <c r="V275" i="2"/>
  <c r="V276" i="2"/>
  <c r="V277" i="2"/>
  <c r="V278" i="2"/>
  <c r="V279" i="2"/>
  <c r="V280" i="2"/>
  <c r="V281" i="2"/>
  <c r="V282" i="2"/>
  <c r="V283" i="2"/>
  <c r="V284" i="2"/>
  <c r="V285" i="2"/>
  <c r="V286" i="2"/>
  <c r="V287" i="2"/>
  <c r="V288" i="2"/>
  <c r="V289" i="2"/>
  <c r="V290" i="2"/>
  <c r="V291" i="2"/>
  <c r="V292" i="2"/>
  <c r="V293" i="2"/>
  <c r="V294" i="2"/>
  <c r="V295" i="2"/>
  <c r="V296" i="2"/>
  <c r="V297" i="2"/>
  <c r="V298" i="2"/>
  <c r="V299" i="2"/>
  <c r="V300" i="2"/>
  <c r="V301" i="2"/>
  <c r="V302" i="2"/>
  <c r="V303" i="2"/>
  <c r="V304" i="2"/>
  <c r="V305" i="2"/>
  <c r="V306" i="2"/>
  <c r="V307" i="2"/>
  <c r="V308" i="2"/>
  <c r="V309" i="2"/>
  <c r="V310" i="2"/>
  <c r="V311" i="2"/>
  <c r="V312" i="2"/>
  <c r="V313" i="2"/>
  <c r="V314" i="2"/>
  <c r="V315" i="2"/>
  <c r="V316" i="2"/>
  <c r="V317" i="2"/>
  <c r="V318" i="2"/>
  <c r="V319" i="2"/>
  <c r="V320" i="2"/>
  <c r="V321" i="2"/>
  <c r="V322" i="2"/>
  <c r="V323" i="2"/>
  <c r="V324" i="2"/>
  <c r="V325" i="2"/>
  <c r="V326" i="2"/>
  <c r="V327" i="2"/>
  <c r="V328" i="2"/>
  <c r="V329" i="2"/>
  <c r="V330" i="2"/>
  <c r="V331" i="2"/>
  <c r="V332" i="2"/>
  <c r="V333" i="2"/>
  <c r="V334" i="2"/>
  <c r="V335" i="2"/>
  <c r="V336" i="2"/>
  <c r="V337" i="2"/>
  <c r="V338" i="2"/>
  <c r="V339" i="2"/>
  <c r="V340" i="2"/>
  <c r="V341" i="2"/>
  <c r="V342" i="2"/>
  <c r="V343" i="2"/>
  <c r="V344" i="2"/>
  <c r="V345" i="2"/>
  <c r="V346" i="2"/>
  <c r="V347" i="2"/>
  <c r="V348" i="2"/>
  <c r="V349" i="2"/>
  <c r="V350" i="2"/>
  <c r="V351" i="2"/>
  <c r="V352" i="2"/>
  <c r="V353" i="2"/>
  <c r="V354" i="2"/>
  <c r="V355" i="2"/>
  <c r="V356" i="2"/>
  <c r="V357" i="2"/>
  <c r="V358" i="2"/>
  <c r="V359" i="2"/>
  <c r="V360" i="2"/>
  <c r="V361" i="2"/>
  <c r="V362" i="2"/>
  <c r="V363" i="2"/>
  <c r="V364" i="2"/>
  <c r="V365" i="2"/>
  <c r="V366" i="2"/>
  <c r="V367" i="2"/>
  <c r="V368" i="2"/>
  <c r="V369" i="2"/>
  <c r="V370" i="2"/>
  <c r="V371" i="2"/>
  <c r="V372" i="2"/>
  <c r="V373" i="2"/>
  <c r="V374" i="2"/>
  <c r="V375" i="2"/>
  <c r="V376" i="2"/>
  <c r="V377" i="2"/>
  <c r="V378" i="2"/>
  <c r="V379" i="2"/>
  <c r="V380" i="2"/>
  <c r="V381" i="2"/>
  <c r="V382" i="2"/>
  <c r="V383" i="2"/>
  <c r="V384" i="2"/>
  <c r="V385" i="2"/>
  <c r="V386" i="2"/>
  <c r="V387" i="2"/>
  <c r="V388" i="2"/>
  <c r="V389" i="2"/>
  <c r="V390" i="2"/>
  <c r="V391" i="2"/>
  <c r="V392" i="2"/>
  <c r="V393" i="2"/>
  <c r="V394" i="2"/>
  <c r="V395" i="2"/>
  <c r="V396" i="2"/>
  <c r="V397" i="2"/>
  <c r="V398" i="2"/>
  <c r="V399" i="2"/>
  <c r="V400" i="2"/>
  <c r="R15" i="2"/>
  <c r="R16" i="2"/>
  <c r="R17" i="2"/>
  <c r="U17" i="2" s="1"/>
  <c r="R18" i="2"/>
  <c r="R19" i="2"/>
  <c r="R20" i="2"/>
  <c r="R22" i="2"/>
  <c r="R23" i="2"/>
  <c r="R24" i="2"/>
  <c r="R25" i="2"/>
  <c r="T25" i="2" s="1"/>
  <c r="R26" i="2"/>
  <c r="R27" i="2"/>
  <c r="R28" i="2"/>
  <c r="R29" i="2"/>
  <c r="T29" i="2" s="1"/>
  <c r="R30" i="2"/>
  <c r="R31" i="2"/>
  <c r="R32" i="2"/>
  <c r="R33" i="2"/>
  <c r="T33" i="2" s="1"/>
  <c r="R34" i="2"/>
  <c r="R35" i="2"/>
  <c r="R36" i="2"/>
  <c r="R37" i="2"/>
  <c r="U37" i="2" s="1"/>
  <c r="R38" i="2"/>
  <c r="R39" i="2"/>
  <c r="R40" i="2"/>
  <c r="R41" i="2"/>
  <c r="U41" i="2" s="1"/>
  <c r="R42" i="2"/>
  <c r="R43" i="2"/>
  <c r="R44" i="2"/>
  <c r="R45" i="2"/>
  <c r="U45" i="2" s="1"/>
  <c r="R46" i="2"/>
  <c r="R47" i="2"/>
  <c r="R48" i="2"/>
  <c r="R49" i="2"/>
  <c r="U49" i="2" s="1"/>
  <c r="R50" i="2"/>
  <c r="R51" i="2"/>
  <c r="R52" i="2"/>
  <c r="R53" i="2"/>
  <c r="U53" i="2" s="1"/>
  <c r="R54" i="2"/>
  <c r="R55" i="2"/>
  <c r="R56" i="2"/>
  <c r="R57" i="2"/>
  <c r="T57" i="2" s="1"/>
  <c r="R58" i="2"/>
  <c r="R59" i="2"/>
  <c r="R60" i="2"/>
  <c r="R61" i="2"/>
  <c r="T61" i="2" s="1"/>
  <c r="R62" i="2"/>
  <c r="R63" i="2"/>
  <c r="R64" i="2"/>
  <c r="R65" i="2"/>
  <c r="T65" i="2" s="1"/>
  <c r="R66" i="2"/>
  <c r="R67" i="2"/>
  <c r="R68" i="2"/>
  <c r="R69" i="2"/>
  <c r="U69" i="2" s="1"/>
  <c r="R70" i="2"/>
  <c r="R71" i="2"/>
  <c r="R72" i="2"/>
  <c r="R73" i="2"/>
  <c r="U73" i="2" s="1"/>
  <c r="R74" i="2"/>
  <c r="R75" i="2"/>
  <c r="R76" i="2"/>
  <c r="R77" i="2"/>
  <c r="U77" i="2" s="1"/>
  <c r="R78" i="2"/>
  <c r="R79" i="2"/>
  <c r="R80" i="2"/>
  <c r="R81" i="2"/>
  <c r="U81" i="2" s="1"/>
  <c r="R82" i="2"/>
  <c r="R83" i="2"/>
  <c r="R84" i="2"/>
  <c r="R85" i="2"/>
  <c r="U85" i="2" s="1"/>
  <c r="R86" i="2"/>
  <c r="R87" i="2"/>
  <c r="R88" i="2"/>
  <c r="R89" i="2"/>
  <c r="T89" i="2" s="1"/>
  <c r="R90" i="2"/>
  <c r="R91" i="2"/>
  <c r="R92" i="2"/>
  <c r="R93" i="2"/>
  <c r="T93" i="2" s="1"/>
  <c r="R94" i="2"/>
  <c r="R95" i="2"/>
  <c r="R96" i="2"/>
  <c r="R97" i="2"/>
  <c r="T97" i="2" s="1"/>
  <c r="R98" i="2"/>
  <c r="R99" i="2"/>
  <c r="R100" i="2"/>
  <c r="R101" i="2"/>
  <c r="U101" i="2" s="1"/>
  <c r="R102" i="2"/>
  <c r="R103" i="2"/>
  <c r="R104" i="2"/>
  <c r="R105" i="2"/>
  <c r="U105" i="2" s="1"/>
  <c r="R106" i="2"/>
  <c r="R107" i="2"/>
  <c r="R108" i="2"/>
  <c r="R109" i="2"/>
  <c r="U109" i="2" s="1"/>
  <c r="R110" i="2"/>
  <c r="R111" i="2"/>
  <c r="R112" i="2"/>
  <c r="R113" i="2"/>
  <c r="U113" i="2" s="1"/>
  <c r="R114" i="2"/>
  <c r="R115" i="2"/>
  <c r="R116" i="2"/>
  <c r="R117" i="2"/>
  <c r="U117" i="2" s="1"/>
  <c r="R118" i="2"/>
  <c r="R119" i="2"/>
  <c r="R120" i="2"/>
  <c r="R121" i="2"/>
  <c r="T121" i="2" s="1"/>
  <c r="R122" i="2"/>
  <c r="R123" i="2"/>
  <c r="R124" i="2"/>
  <c r="R125" i="2"/>
  <c r="T125" i="2" s="1"/>
  <c r="R126" i="2"/>
  <c r="R127" i="2"/>
  <c r="R128" i="2"/>
  <c r="R129" i="2"/>
  <c r="T129" i="2" s="1"/>
  <c r="R130" i="2"/>
  <c r="R131" i="2"/>
  <c r="R132" i="2"/>
  <c r="R133" i="2"/>
  <c r="U133" i="2" s="1"/>
  <c r="R134" i="2"/>
  <c r="R135" i="2"/>
  <c r="R136" i="2"/>
  <c r="R137" i="2"/>
  <c r="U137" i="2" s="1"/>
  <c r="R138" i="2"/>
  <c r="R139" i="2"/>
  <c r="R140" i="2"/>
  <c r="R141" i="2"/>
  <c r="U141" i="2" s="1"/>
  <c r="R142" i="2"/>
  <c r="R143" i="2"/>
  <c r="R144" i="2"/>
  <c r="R145" i="2"/>
  <c r="U145" i="2" s="1"/>
  <c r="R146" i="2"/>
  <c r="R147" i="2"/>
  <c r="R148" i="2"/>
  <c r="R149" i="2"/>
  <c r="U149" i="2" s="1"/>
  <c r="R150" i="2"/>
  <c r="R151" i="2"/>
  <c r="R152" i="2"/>
  <c r="R153" i="2"/>
  <c r="T153" i="2" s="1"/>
  <c r="R154" i="2"/>
  <c r="R155" i="2"/>
  <c r="R156" i="2"/>
  <c r="R157" i="2"/>
  <c r="T157" i="2" s="1"/>
  <c r="R158" i="2"/>
  <c r="R159" i="2"/>
  <c r="R160" i="2"/>
  <c r="R161" i="2"/>
  <c r="T161" i="2" s="1"/>
  <c r="R162" i="2"/>
  <c r="R163" i="2"/>
  <c r="R164" i="2"/>
  <c r="R165" i="2"/>
  <c r="U165" i="2" s="1"/>
  <c r="R166" i="2"/>
  <c r="R167" i="2"/>
  <c r="R168" i="2"/>
  <c r="R169" i="2"/>
  <c r="U169" i="2" s="1"/>
  <c r="R170" i="2"/>
  <c r="R171" i="2"/>
  <c r="R172" i="2"/>
  <c r="R173" i="2"/>
  <c r="U173" i="2" s="1"/>
  <c r="R174" i="2"/>
  <c r="R175" i="2"/>
  <c r="R176" i="2"/>
  <c r="R177" i="2"/>
  <c r="U177" i="2" s="1"/>
  <c r="R178" i="2"/>
  <c r="R179" i="2"/>
  <c r="R180" i="2"/>
  <c r="R181" i="2"/>
  <c r="U181" i="2" s="1"/>
  <c r="R182" i="2"/>
  <c r="R183" i="2"/>
  <c r="R184" i="2"/>
  <c r="R185" i="2"/>
  <c r="T185" i="2" s="1"/>
  <c r="R186" i="2"/>
  <c r="R187" i="2"/>
  <c r="R188" i="2"/>
  <c r="R189" i="2"/>
  <c r="T189" i="2" s="1"/>
  <c r="R190" i="2"/>
  <c r="R191" i="2"/>
  <c r="R192" i="2"/>
  <c r="R193" i="2"/>
  <c r="T193" i="2" s="1"/>
  <c r="R194" i="2"/>
  <c r="R195" i="2"/>
  <c r="R196" i="2"/>
  <c r="R197" i="2"/>
  <c r="U197" i="2" s="1"/>
  <c r="R198" i="2"/>
  <c r="R199" i="2"/>
  <c r="R200" i="2"/>
  <c r="R201" i="2"/>
  <c r="U201" i="2" s="1"/>
  <c r="R202" i="2"/>
  <c r="R203" i="2"/>
  <c r="R204" i="2"/>
  <c r="R205" i="2"/>
  <c r="U205" i="2" s="1"/>
  <c r="R206" i="2"/>
  <c r="R207" i="2"/>
  <c r="R208" i="2"/>
  <c r="R209" i="2"/>
  <c r="U209" i="2" s="1"/>
  <c r="R210" i="2"/>
  <c r="R211" i="2"/>
  <c r="R212" i="2"/>
  <c r="R213" i="2"/>
  <c r="S213" i="2" s="1"/>
  <c r="R214" i="2"/>
  <c r="R215" i="2"/>
  <c r="R216" i="2"/>
  <c r="R217" i="2"/>
  <c r="T217" i="2" s="1"/>
  <c r="R218" i="2"/>
  <c r="R219" i="2"/>
  <c r="R220" i="2"/>
  <c r="R221" i="2"/>
  <c r="T221" i="2" s="1"/>
  <c r="R222" i="2"/>
  <c r="R223" i="2"/>
  <c r="R224" i="2"/>
  <c r="R225" i="2"/>
  <c r="T225" i="2" s="1"/>
  <c r="R226" i="2"/>
  <c r="R227" i="2"/>
  <c r="R228" i="2"/>
  <c r="R229" i="2"/>
  <c r="U229" i="2" s="1"/>
  <c r="R230" i="2"/>
  <c r="R231" i="2"/>
  <c r="R232" i="2"/>
  <c r="R233" i="2"/>
  <c r="U233" i="2" s="1"/>
  <c r="R234" i="2"/>
  <c r="R235" i="2"/>
  <c r="R236" i="2"/>
  <c r="R237" i="2"/>
  <c r="U237" i="2" s="1"/>
  <c r="R238" i="2"/>
  <c r="R239" i="2"/>
  <c r="R240" i="2"/>
  <c r="R241" i="2"/>
  <c r="U241" i="2" s="1"/>
  <c r="R242" i="2"/>
  <c r="R243" i="2"/>
  <c r="R244" i="2"/>
  <c r="R245" i="2"/>
  <c r="U245" i="2" s="1"/>
  <c r="R246" i="2"/>
  <c r="R247" i="2"/>
  <c r="R248" i="2"/>
  <c r="R249" i="2"/>
  <c r="T249" i="2" s="1"/>
  <c r="R250" i="2"/>
  <c r="R251" i="2"/>
  <c r="R252" i="2"/>
  <c r="R253" i="2"/>
  <c r="T253" i="2" s="1"/>
  <c r="R254" i="2"/>
  <c r="R255" i="2"/>
  <c r="R256" i="2"/>
  <c r="R257" i="2"/>
  <c r="T257" i="2" s="1"/>
  <c r="R258" i="2"/>
  <c r="R259" i="2"/>
  <c r="R260" i="2"/>
  <c r="R261" i="2"/>
  <c r="U261" i="2" s="1"/>
  <c r="R262" i="2"/>
  <c r="R263" i="2"/>
  <c r="R264" i="2"/>
  <c r="R265" i="2"/>
  <c r="U265" i="2" s="1"/>
  <c r="R266" i="2"/>
  <c r="R267" i="2"/>
  <c r="R268" i="2"/>
  <c r="R269" i="2"/>
  <c r="U269" i="2" s="1"/>
  <c r="R270" i="2"/>
  <c r="R271" i="2"/>
  <c r="R272" i="2"/>
  <c r="R273" i="2"/>
  <c r="U273" i="2" s="1"/>
  <c r="R274" i="2"/>
  <c r="R275" i="2"/>
  <c r="R276" i="2"/>
  <c r="R277" i="2"/>
  <c r="U277" i="2" s="1"/>
  <c r="R278" i="2"/>
  <c r="R279" i="2"/>
  <c r="R280" i="2"/>
  <c r="R281" i="2"/>
  <c r="T281" i="2" s="1"/>
  <c r="R282" i="2"/>
  <c r="R283" i="2"/>
  <c r="R284" i="2"/>
  <c r="R285" i="2"/>
  <c r="T285" i="2" s="1"/>
  <c r="R286" i="2"/>
  <c r="U286" i="2" s="1"/>
  <c r="R287" i="2"/>
  <c r="U287" i="2" s="1"/>
  <c r="R288" i="2"/>
  <c r="U288" i="2" s="1"/>
  <c r="R289" i="2"/>
  <c r="T289" i="2" s="1"/>
  <c r="R290" i="2"/>
  <c r="U290" i="2" s="1"/>
  <c r="R291" i="2"/>
  <c r="U291" i="2" s="1"/>
  <c r="R292" i="2"/>
  <c r="R293" i="2"/>
  <c r="U293" i="2" s="1"/>
  <c r="R294" i="2"/>
  <c r="U294" i="2" s="1"/>
  <c r="R295" i="2"/>
  <c r="T295" i="2" s="1"/>
  <c r="R296" i="2"/>
  <c r="U296" i="2" s="1"/>
  <c r="R297" i="2"/>
  <c r="U297" i="2" s="1"/>
  <c r="R298" i="2"/>
  <c r="T298" i="2" s="1"/>
  <c r="R299" i="2"/>
  <c r="U299" i="2" s="1"/>
  <c r="R300" i="2"/>
  <c r="U300" i="2" s="1"/>
  <c r="R301" i="2"/>
  <c r="T301" i="2" s="1"/>
  <c r="R302" i="2"/>
  <c r="U302" i="2" s="1"/>
  <c r="R303" i="2"/>
  <c r="T303" i="2" s="1"/>
  <c r="R304" i="2"/>
  <c r="U304" i="2" s="1"/>
  <c r="R305" i="2"/>
  <c r="U305" i="2" s="1"/>
  <c r="R306" i="2"/>
  <c r="T306" i="2" s="1"/>
  <c r="R307" i="2"/>
  <c r="U307" i="2" s="1"/>
  <c r="R308" i="2"/>
  <c r="R309" i="2"/>
  <c r="T309" i="2" s="1"/>
  <c r="R310" i="2"/>
  <c r="U310" i="2" s="1"/>
  <c r="R311" i="2"/>
  <c r="T311" i="2" s="1"/>
  <c r="R312" i="2"/>
  <c r="U312" i="2" s="1"/>
  <c r="R313" i="2"/>
  <c r="U313" i="2" s="1"/>
  <c r="R314" i="2"/>
  <c r="T314" i="2" s="1"/>
  <c r="R315" i="2"/>
  <c r="U315" i="2" s="1"/>
  <c r="R316" i="2"/>
  <c r="R317" i="2"/>
  <c r="T317" i="2" s="1"/>
  <c r="R318" i="2"/>
  <c r="U318" i="2" s="1"/>
  <c r="R319" i="2"/>
  <c r="T319" i="2" s="1"/>
  <c r="R320" i="2"/>
  <c r="U320" i="2" s="1"/>
  <c r="R321" i="2"/>
  <c r="T321" i="2" s="1"/>
  <c r="R322" i="2"/>
  <c r="T322" i="2" s="1"/>
  <c r="R323" i="2"/>
  <c r="U323" i="2" s="1"/>
  <c r="R324" i="2"/>
  <c r="R325" i="2"/>
  <c r="U325" i="2" s="1"/>
  <c r="R326" i="2"/>
  <c r="U326" i="2" s="1"/>
  <c r="R327" i="2"/>
  <c r="T327" i="2" s="1"/>
  <c r="R328" i="2"/>
  <c r="U328" i="2" s="1"/>
  <c r="R329" i="2"/>
  <c r="U329" i="2" s="1"/>
  <c r="R330" i="2"/>
  <c r="U330" i="2" s="1"/>
  <c r="R331" i="2"/>
  <c r="U331" i="2" s="1"/>
  <c r="R332" i="2"/>
  <c r="U332" i="2" s="1"/>
  <c r="R333" i="2"/>
  <c r="T333" i="2" s="1"/>
  <c r="R334" i="2"/>
  <c r="U334" i="2" s="1"/>
  <c r="R335" i="2"/>
  <c r="T335" i="2" s="1"/>
  <c r="R336" i="2"/>
  <c r="U336" i="2" s="1"/>
  <c r="R337" i="2"/>
  <c r="U337" i="2" s="1"/>
  <c r="R338" i="2"/>
  <c r="U338" i="2" s="1"/>
  <c r="R339" i="2"/>
  <c r="U339" i="2" s="1"/>
  <c r="R340" i="2"/>
  <c r="R341" i="2"/>
  <c r="T341" i="2" s="1"/>
  <c r="R342" i="2"/>
  <c r="U342" i="2" s="1"/>
  <c r="R343" i="2"/>
  <c r="T343" i="2" s="1"/>
  <c r="R344" i="2"/>
  <c r="U344" i="2" s="1"/>
  <c r="R345" i="2"/>
  <c r="U345" i="2" s="1"/>
  <c r="R346" i="2"/>
  <c r="T346" i="2" s="1"/>
  <c r="R347" i="2"/>
  <c r="U347" i="2" s="1"/>
  <c r="R348" i="2"/>
  <c r="R349" i="2"/>
  <c r="T349" i="2" s="1"/>
  <c r="R350" i="2"/>
  <c r="U350" i="2" s="1"/>
  <c r="R351" i="2"/>
  <c r="T351" i="2" s="1"/>
  <c r="R352" i="2"/>
  <c r="U352" i="2" s="1"/>
  <c r="R353" i="2"/>
  <c r="T353" i="2" s="1"/>
  <c r="R354" i="2"/>
  <c r="T354" i="2" s="1"/>
  <c r="R355" i="2"/>
  <c r="U355" i="2" s="1"/>
  <c r="R356" i="2"/>
  <c r="R357" i="2"/>
  <c r="U357" i="2" s="1"/>
  <c r="R358" i="2"/>
  <c r="U358" i="2" s="1"/>
  <c r="R359" i="2"/>
  <c r="T359" i="2" s="1"/>
  <c r="R360" i="2"/>
  <c r="U360" i="2" s="1"/>
  <c r="R361" i="2"/>
  <c r="U361" i="2" s="1"/>
  <c r="R362" i="2"/>
  <c r="T362" i="2" s="1"/>
  <c r="R363" i="2"/>
  <c r="U363" i="2" s="1"/>
  <c r="R364" i="2"/>
  <c r="U364" i="2" s="1"/>
  <c r="R365" i="2"/>
  <c r="T365" i="2" s="1"/>
  <c r="R366" i="2"/>
  <c r="U366" i="2" s="1"/>
  <c r="R367" i="2"/>
  <c r="T367" i="2" s="1"/>
  <c r="R368" i="2"/>
  <c r="U368" i="2" s="1"/>
  <c r="R369" i="2"/>
  <c r="U369" i="2" s="1"/>
  <c r="R370" i="2"/>
  <c r="T370" i="2" s="1"/>
  <c r="R371" i="2"/>
  <c r="U371" i="2" s="1"/>
  <c r="R372" i="2"/>
  <c r="R373" i="2"/>
  <c r="T373" i="2" s="1"/>
  <c r="R374" i="2"/>
  <c r="U374" i="2" s="1"/>
  <c r="R375" i="2"/>
  <c r="T375" i="2" s="1"/>
  <c r="R376" i="2"/>
  <c r="U376" i="2" s="1"/>
  <c r="R377" i="2"/>
  <c r="U377" i="2" s="1"/>
  <c r="R378" i="2"/>
  <c r="T378" i="2" s="1"/>
  <c r="R379" i="2"/>
  <c r="U379" i="2" s="1"/>
  <c r="R380" i="2"/>
  <c r="R381" i="2"/>
  <c r="T381" i="2" s="1"/>
  <c r="R382" i="2"/>
  <c r="U382" i="2" s="1"/>
  <c r="R383" i="2"/>
  <c r="T383" i="2" s="1"/>
  <c r="R384" i="2"/>
  <c r="U384" i="2" s="1"/>
  <c r="R385" i="2"/>
  <c r="T385" i="2" s="1"/>
  <c r="R386" i="2"/>
  <c r="T386" i="2" s="1"/>
  <c r="R387" i="2"/>
  <c r="U387" i="2" s="1"/>
  <c r="R388" i="2"/>
  <c r="R389" i="2"/>
  <c r="U389" i="2" s="1"/>
  <c r="R390" i="2"/>
  <c r="U390" i="2" s="1"/>
  <c r="R391" i="2"/>
  <c r="U391" i="2" s="1"/>
  <c r="R392" i="2"/>
  <c r="U392" i="2" s="1"/>
  <c r="R393" i="2"/>
  <c r="U393" i="2" s="1"/>
  <c r="R394" i="2"/>
  <c r="U394" i="2" s="1"/>
  <c r="R395" i="2"/>
  <c r="U395" i="2" s="1"/>
  <c r="R396" i="2"/>
  <c r="U396" i="2" s="1"/>
  <c r="R397" i="2"/>
  <c r="T397" i="2" s="1"/>
  <c r="R398" i="2"/>
  <c r="U398" i="2" s="1"/>
  <c r="R399" i="2"/>
  <c r="U399" i="2" s="1"/>
  <c r="R400" i="2"/>
  <c r="U400" i="2" s="1"/>
  <c r="Q15" i="2"/>
  <c r="Q16" i="2"/>
  <c r="Q17" i="2"/>
  <c r="Q18" i="2"/>
  <c r="Q19" i="2"/>
  <c r="Q20" i="2"/>
  <c r="Q21" i="2"/>
  <c r="R21" i="2" s="1"/>
  <c r="U21" i="2" s="1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Q263" i="2"/>
  <c r="Q264" i="2"/>
  <c r="Q265" i="2"/>
  <c r="Q266" i="2"/>
  <c r="Q267" i="2"/>
  <c r="Q268" i="2"/>
  <c r="Q269" i="2"/>
  <c r="Q270" i="2"/>
  <c r="Q271" i="2"/>
  <c r="Q272" i="2"/>
  <c r="Q273" i="2"/>
  <c r="Q274" i="2"/>
  <c r="Q275" i="2"/>
  <c r="Q276" i="2"/>
  <c r="Q277" i="2"/>
  <c r="Q278" i="2"/>
  <c r="Q279" i="2"/>
  <c r="Q280" i="2"/>
  <c r="Q281" i="2"/>
  <c r="Q282" i="2"/>
  <c r="Q283" i="2"/>
  <c r="Q284" i="2"/>
  <c r="Q285" i="2"/>
  <c r="Q286" i="2"/>
  <c r="Q287" i="2"/>
  <c r="Q288" i="2"/>
  <c r="Q289" i="2"/>
  <c r="Q290" i="2"/>
  <c r="Q291" i="2"/>
  <c r="Q292" i="2"/>
  <c r="Q293" i="2"/>
  <c r="Q294" i="2"/>
  <c r="Q295" i="2"/>
  <c r="Q296" i="2"/>
  <c r="Q297" i="2"/>
  <c r="Q298" i="2"/>
  <c r="Q299" i="2"/>
  <c r="Q300" i="2"/>
  <c r="Q301" i="2"/>
  <c r="Q302" i="2"/>
  <c r="Q303" i="2"/>
  <c r="Q304" i="2"/>
  <c r="Q305" i="2"/>
  <c r="Q306" i="2"/>
  <c r="Q307" i="2"/>
  <c r="Q308" i="2"/>
  <c r="Q309" i="2"/>
  <c r="Q310" i="2"/>
  <c r="Q311" i="2"/>
  <c r="Q312" i="2"/>
  <c r="Q313" i="2"/>
  <c r="Q314" i="2"/>
  <c r="Q315" i="2"/>
  <c r="Q316" i="2"/>
  <c r="Q317" i="2"/>
  <c r="Q318" i="2"/>
  <c r="Q319" i="2"/>
  <c r="Q320" i="2"/>
  <c r="Q321" i="2"/>
  <c r="Q322" i="2"/>
  <c r="Q323" i="2"/>
  <c r="Q324" i="2"/>
  <c r="Q325" i="2"/>
  <c r="Q326" i="2"/>
  <c r="Q327" i="2"/>
  <c r="Q328" i="2"/>
  <c r="Q329" i="2"/>
  <c r="Q330" i="2"/>
  <c r="Q331" i="2"/>
  <c r="Q332" i="2"/>
  <c r="Q333" i="2"/>
  <c r="Q334" i="2"/>
  <c r="Q335" i="2"/>
  <c r="Q336" i="2"/>
  <c r="Q337" i="2"/>
  <c r="Q338" i="2"/>
  <c r="Q339" i="2"/>
  <c r="Q340" i="2"/>
  <c r="Q341" i="2"/>
  <c r="Q342" i="2"/>
  <c r="Q343" i="2"/>
  <c r="Q344" i="2"/>
  <c r="Q345" i="2"/>
  <c r="Q346" i="2"/>
  <c r="Q347" i="2"/>
  <c r="Q348" i="2"/>
  <c r="Q349" i="2"/>
  <c r="Q350" i="2"/>
  <c r="Q351" i="2"/>
  <c r="Q352" i="2"/>
  <c r="Q353" i="2"/>
  <c r="Q354" i="2"/>
  <c r="Q355" i="2"/>
  <c r="Q356" i="2"/>
  <c r="Q357" i="2"/>
  <c r="Q358" i="2"/>
  <c r="Q359" i="2"/>
  <c r="Q360" i="2"/>
  <c r="Q361" i="2"/>
  <c r="Q362" i="2"/>
  <c r="Q363" i="2"/>
  <c r="Q364" i="2"/>
  <c r="Q365" i="2"/>
  <c r="Q366" i="2"/>
  <c r="Q367" i="2"/>
  <c r="Q368" i="2"/>
  <c r="Q369" i="2"/>
  <c r="Q370" i="2"/>
  <c r="Q371" i="2"/>
  <c r="Q372" i="2"/>
  <c r="Q373" i="2"/>
  <c r="Q374" i="2"/>
  <c r="Q375" i="2"/>
  <c r="Q376" i="2"/>
  <c r="Q377" i="2"/>
  <c r="Q378" i="2"/>
  <c r="Q379" i="2"/>
  <c r="Q380" i="2"/>
  <c r="Q381" i="2"/>
  <c r="Q382" i="2"/>
  <c r="Q383" i="2"/>
  <c r="Q384" i="2"/>
  <c r="Q385" i="2"/>
  <c r="Q386" i="2"/>
  <c r="Q387" i="2"/>
  <c r="Q388" i="2"/>
  <c r="Q389" i="2"/>
  <c r="Q390" i="2"/>
  <c r="Q391" i="2"/>
  <c r="Q392" i="2"/>
  <c r="Q393" i="2"/>
  <c r="Q394" i="2"/>
  <c r="Q395" i="2"/>
  <c r="Q396" i="2"/>
  <c r="Q397" i="2"/>
  <c r="Q398" i="2"/>
  <c r="Q399" i="2"/>
  <c r="Q400" i="2"/>
  <c r="P3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144" i="2"/>
  <c r="P145" i="2"/>
  <c r="P146" i="2"/>
  <c r="P147" i="2"/>
  <c r="P148" i="2"/>
  <c r="P149" i="2"/>
  <c r="P150" i="2"/>
  <c r="P151" i="2"/>
  <c r="P152" i="2"/>
  <c r="P153" i="2"/>
  <c r="P154" i="2"/>
  <c r="P155" i="2"/>
  <c r="P156" i="2"/>
  <c r="P157" i="2"/>
  <c r="P158" i="2"/>
  <c r="P159" i="2"/>
  <c r="P160" i="2"/>
  <c r="P161" i="2"/>
  <c r="P162" i="2"/>
  <c r="P163" i="2"/>
  <c r="P164" i="2"/>
  <c r="P165" i="2"/>
  <c r="P166" i="2"/>
  <c r="P167" i="2"/>
  <c r="P168" i="2"/>
  <c r="P169" i="2"/>
  <c r="P170" i="2"/>
  <c r="P171" i="2"/>
  <c r="P172" i="2"/>
  <c r="P173" i="2"/>
  <c r="P174" i="2"/>
  <c r="P175" i="2"/>
  <c r="P176" i="2"/>
  <c r="P177" i="2"/>
  <c r="P178" i="2"/>
  <c r="P179" i="2"/>
  <c r="P180" i="2"/>
  <c r="P181" i="2"/>
  <c r="P182" i="2"/>
  <c r="P183" i="2"/>
  <c r="P184" i="2"/>
  <c r="P185" i="2"/>
  <c r="P186" i="2"/>
  <c r="P187" i="2"/>
  <c r="P188" i="2"/>
  <c r="P189" i="2"/>
  <c r="P190" i="2"/>
  <c r="P191" i="2"/>
  <c r="P192" i="2"/>
  <c r="P193" i="2"/>
  <c r="P194" i="2"/>
  <c r="P195" i="2"/>
  <c r="P196" i="2"/>
  <c r="P197" i="2"/>
  <c r="P198" i="2"/>
  <c r="P199" i="2"/>
  <c r="P200" i="2"/>
  <c r="P201" i="2"/>
  <c r="P202" i="2"/>
  <c r="P203" i="2"/>
  <c r="P204" i="2"/>
  <c r="P205" i="2"/>
  <c r="P206" i="2"/>
  <c r="P207" i="2"/>
  <c r="P208" i="2"/>
  <c r="P209" i="2"/>
  <c r="P210" i="2"/>
  <c r="P211" i="2"/>
  <c r="P212" i="2"/>
  <c r="P213" i="2"/>
  <c r="P214" i="2"/>
  <c r="P215" i="2"/>
  <c r="P216" i="2"/>
  <c r="P217" i="2"/>
  <c r="P218" i="2"/>
  <c r="P219" i="2"/>
  <c r="P220" i="2"/>
  <c r="P221" i="2"/>
  <c r="P222" i="2"/>
  <c r="P223" i="2"/>
  <c r="P224" i="2"/>
  <c r="P225" i="2"/>
  <c r="P226" i="2"/>
  <c r="P227" i="2"/>
  <c r="P228" i="2"/>
  <c r="P229" i="2"/>
  <c r="P230" i="2"/>
  <c r="P231" i="2"/>
  <c r="P232" i="2"/>
  <c r="P233" i="2"/>
  <c r="P234" i="2"/>
  <c r="P235" i="2"/>
  <c r="P236" i="2"/>
  <c r="P237" i="2"/>
  <c r="P238" i="2"/>
  <c r="P239" i="2"/>
  <c r="P240" i="2"/>
  <c r="P241" i="2"/>
  <c r="P242" i="2"/>
  <c r="P243" i="2"/>
  <c r="P244" i="2"/>
  <c r="P245" i="2"/>
  <c r="P246" i="2"/>
  <c r="P247" i="2"/>
  <c r="P248" i="2"/>
  <c r="P249" i="2"/>
  <c r="P250" i="2"/>
  <c r="P251" i="2"/>
  <c r="P252" i="2"/>
  <c r="P253" i="2"/>
  <c r="P254" i="2"/>
  <c r="P255" i="2"/>
  <c r="P256" i="2"/>
  <c r="P257" i="2"/>
  <c r="P258" i="2"/>
  <c r="P259" i="2"/>
  <c r="P260" i="2"/>
  <c r="P261" i="2"/>
  <c r="P262" i="2"/>
  <c r="P263" i="2"/>
  <c r="P264" i="2"/>
  <c r="P265" i="2"/>
  <c r="P266" i="2"/>
  <c r="P267" i="2"/>
  <c r="P268" i="2"/>
  <c r="P269" i="2"/>
  <c r="P270" i="2"/>
  <c r="P271" i="2"/>
  <c r="P272" i="2"/>
  <c r="P273" i="2"/>
  <c r="P274" i="2"/>
  <c r="P275" i="2"/>
  <c r="P276" i="2"/>
  <c r="P277" i="2"/>
  <c r="P278" i="2"/>
  <c r="P279" i="2"/>
  <c r="P280" i="2"/>
  <c r="P281" i="2"/>
  <c r="P282" i="2"/>
  <c r="P283" i="2"/>
  <c r="P284" i="2"/>
  <c r="P285" i="2"/>
  <c r="P286" i="2"/>
  <c r="P287" i="2"/>
  <c r="P288" i="2"/>
  <c r="P289" i="2"/>
  <c r="P290" i="2"/>
  <c r="P291" i="2"/>
  <c r="P292" i="2"/>
  <c r="P293" i="2"/>
  <c r="P294" i="2"/>
  <c r="P295" i="2"/>
  <c r="P296" i="2"/>
  <c r="P297" i="2"/>
  <c r="P298" i="2"/>
  <c r="P299" i="2"/>
  <c r="P300" i="2"/>
  <c r="P301" i="2"/>
  <c r="P302" i="2"/>
  <c r="P303" i="2"/>
  <c r="P304" i="2"/>
  <c r="P305" i="2"/>
  <c r="P306" i="2"/>
  <c r="P307" i="2"/>
  <c r="P308" i="2"/>
  <c r="P309" i="2"/>
  <c r="P310" i="2"/>
  <c r="P311" i="2"/>
  <c r="P312" i="2"/>
  <c r="P313" i="2"/>
  <c r="P314" i="2"/>
  <c r="P315" i="2"/>
  <c r="P316" i="2"/>
  <c r="P317" i="2"/>
  <c r="P318" i="2"/>
  <c r="P319" i="2"/>
  <c r="P320" i="2"/>
  <c r="P321" i="2"/>
  <c r="P322" i="2"/>
  <c r="P323" i="2"/>
  <c r="P324" i="2"/>
  <c r="P325" i="2"/>
  <c r="P326" i="2"/>
  <c r="P327" i="2"/>
  <c r="P328" i="2"/>
  <c r="P329" i="2"/>
  <c r="P330" i="2"/>
  <c r="P331" i="2"/>
  <c r="P332" i="2"/>
  <c r="P333" i="2"/>
  <c r="P334" i="2"/>
  <c r="P335" i="2"/>
  <c r="P336" i="2"/>
  <c r="P337" i="2"/>
  <c r="P338" i="2"/>
  <c r="P339" i="2"/>
  <c r="P340" i="2"/>
  <c r="P341" i="2"/>
  <c r="P342" i="2"/>
  <c r="P343" i="2"/>
  <c r="P344" i="2"/>
  <c r="P345" i="2"/>
  <c r="P346" i="2"/>
  <c r="P347" i="2"/>
  <c r="P348" i="2"/>
  <c r="P349" i="2"/>
  <c r="P350" i="2"/>
  <c r="P351" i="2"/>
  <c r="P352" i="2"/>
  <c r="P353" i="2"/>
  <c r="P354" i="2"/>
  <c r="P355" i="2"/>
  <c r="P356" i="2"/>
  <c r="P357" i="2"/>
  <c r="P358" i="2"/>
  <c r="P359" i="2"/>
  <c r="P360" i="2"/>
  <c r="P361" i="2"/>
  <c r="P362" i="2"/>
  <c r="P363" i="2"/>
  <c r="P364" i="2"/>
  <c r="P365" i="2"/>
  <c r="P366" i="2"/>
  <c r="P367" i="2"/>
  <c r="P368" i="2"/>
  <c r="P369" i="2"/>
  <c r="P370" i="2"/>
  <c r="P371" i="2"/>
  <c r="P372" i="2"/>
  <c r="P373" i="2"/>
  <c r="P374" i="2"/>
  <c r="P375" i="2"/>
  <c r="P376" i="2"/>
  <c r="P377" i="2"/>
  <c r="P378" i="2"/>
  <c r="P379" i="2"/>
  <c r="P380" i="2"/>
  <c r="P381" i="2"/>
  <c r="P382" i="2"/>
  <c r="P383" i="2"/>
  <c r="P384" i="2"/>
  <c r="P385" i="2"/>
  <c r="P386" i="2"/>
  <c r="P387" i="2"/>
  <c r="P388" i="2"/>
  <c r="P389" i="2"/>
  <c r="P390" i="2"/>
  <c r="P391" i="2"/>
  <c r="P392" i="2"/>
  <c r="P393" i="2"/>
  <c r="P394" i="2"/>
  <c r="P395" i="2"/>
  <c r="P396" i="2"/>
  <c r="P397" i="2"/>
  <c r="P398" i="2"/>
  <c r="P399" i="2"/>
  <c r="P400" i="2"/>
  <c r="O2" i="2"/>
  <c r="Q2" i="2" s="1"/>
  <c r="R2" i="2" s="1"/>
  <c r="O3" i="2"/>
  <c r="Q3" i="2" s="1"/>
  <c r="O4" i="2"/>
  <c r="Q4" i="2" s="1"/>
  <c r="R4" i="2" s="1"/>
  <c r="T4" i="2" s="1"/>
  <c r="O5" i="2"/>
  <c r="Q5" i="2" s="1"/>
  <c r="O6" i="2"/>
  <c r="Q6" i="2" s="1"/>
  <c r="O7" i="2"/>
  <c r="Q7" i="2" s="1"/>
  <c r="O8" i="2"/>
  <c r="Q8" i="2" s="1"/>
  <c r="O9" i="2"/>
  <c r="Q9" i="2" s="1"/>
  <c r="O10" i="2"/>
  <c r="Q10" i="2" s="1"/>
  <c r="O11" i="2"/>
  <c r="Q11" i="2" s="1"/>
  <c r="O12" i="2"/>
  <c r="Q12" i="2" s="1"/>
  <c r="O13" i="2"/>
  <c r="Q13" i="2" s="1"/>
  <c r="O14" i="2"/>
  <c r="Q14" i="2" s="1"/>
  <c r="R14" i="2" s="1"/>
  <c r="V14" i="2" s="1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39" i="2"/>
  <c r="O140" i="2"/>
  <c r="O141" i="2"/>
  <c r="O142" i="2"/>
  <c r="O143" i="2"/>
  <c r="O144" i="2"/>
  <c r="O145" i="2"/>
  <c r="O146" i="2"/>
  <c r="O147" i="2"/>
  <c r="O14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307" i="2"/>
  <c r="O308" i="2"/>
  <c r="O309" i="2"/>
  <c r="O310" i="2"/>
  <c r="O311" i="2"/>
  <c r="O312" i="2"/>
  <c r="O313" i="2"/>
  <c r="O314" i="2"/>
  <c r="O315" i="2"/>
  <c r="O316" i="2"/>
  <c r="O317" i="2"/>
  <c r="O318" i="2"/>
  <c r="O319" i="2"/>
  <c r="O320" i="2"/>
  <c r="O321" i="2"/>
  <c r="O322" i="2"/>
  <c r="O323" i="2"/>
  <c r="O324" i="2"/>
  <c r="O325" i="2"/>
  <c r="O326" i="2"/>
  <c r="O327" i="2"/>
  <c r="O328" i="2"/>
  <c r="O329" i="2"/>
  <c r="O330" i="2"/>
  <c r="O331" i="2"/>
  <c r="O332" i="2"/>
  <c r="O333" i="2"/>
  <c r="O334" i="2"/>
  <c r="O335" i="2"/>
  <c r="O336" i="2"/>
  <c r="O337" i="2"/>
  <c r="O338" i="2"/>
  <c r="O339" i="2"/>
  <c r="O340" i="2"/>
  <c r="O341" i="2"/>
  <c r="O342" i="2"/>
  <c r="O343" i="2"/>
  <c r="O344" i="2"/>
  <c r="O345" i="2"/>
  <c r="O346" i="2"/>
  <c r="O347" i="2"/>
  <c r="O348" i="2"/>
  <c r="O349" i="2"/>
  <c r="O350" i="2"/>
  <c r="O351" i="2"/>
  <c r="O352" i="2"/>
  <c r="O353" i="2"/>
  <c r="O354" i="2"/>
  <c r="O355" i="2"/>
  <c r="O356" i="2"/>
  <c r="O357" i="2"/>
  <c r="O358" i="2"/>
  <c r="O359" i="2"/>
  <c r="O360" i="2"/>
  <c r="O361" i="2"/>
  <c r="O362" i="2"/>
  <c r="O363" i="2"/>
  <c r="O364" i="2"/>
  <c r="O365" i="2"/>
  <c r="O366" i="2"/>
  <c r="O367" i="2"/>
  <c r="O368" i="2"/>
  <c r="O369" i="2"/>
  <c r="O370" i="2"/>
  <c r="O371" i="2"/>
  <c r="O372" i="2"/>
  <c r="O373" i="2"/>
  <c r="O374" i="2"/>
  <c r="O375" i="2"/>
  <c r="O376" i="2"/>
  <c r="O377" i="2"/>
  <c r="O378" i="2"/>
  <c r="O379" i="2"/>
  <c r="O380" i="2"/>
  <c r="O381" i="2"/>
  <c r="O382" i="2"/>
  <c r="O383" i="2"/>
  <c r="O384" i="2"/>
  <c r="O385" i="2"/>
  <c r="O386" i="2"/>
  <c r="O387" i="2"/>
  <c r="O388" i="2"/>
  <c r="O389" i="2"/>
  <c r="O390" i="2"/>
  <c r="O391" i="2"/>
  <c r="O392" i="2"/>
  <c r="O393" i="2"/>
  <c r="O394" i="2"/>
  <c r="O395" i="2"/>
  <c r="O396" i="2"/>
  <c r="O397" i="2"/>
  <c r="O398" i="2"/>
  <c r="O399" i="2"/>
  <c r="O400" i="2"/>
  <c r="N2" i="2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2" i="2"/>
  <c r="N53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7" i="2"/>
  <c r="N68" i="2"/>
  <c r="N69" i="2"/>
  <c r="N70" i="2"/>
  <c r="N71" i="2"/>
  <c r="N72" i="2"/>
  <c r="N73" i="2"/>
  <c r="N74" i="2"/>
  <c r="N75" i="2"/>
  <c r="N76" i="2"/>
  <c r="N77" i="2"/>
  <c r="N78" i="2"/>
  <c r="N79" i="2"/>
  <c r="N80" i="2"/>
  <c r="N81" i="2"/>
  <c r="N82" i="2"/>
  <c r="N83" i="2"/>
  <c r="N84" i="2"/>
  <c r="N85" i="2"/>
  <c r="N86" i="2"/>
  <c r="N87" i="2"/>
  <c r="N88" i="2"/>
  <c r="N89" i="2"/>
  <c r="N90" i="2"/>
  <c r="N91" i="2"/>
  <c r="N92" i="2"/>
  <c r="N93" i="2"/>
  <c r="N94" i="2"/>
  <c r="N95" i="2"/>
  <c r="N96" i="2"/>
  <c r="N97" i="2"/>
  <c r="N98" i="2"/>
  <c r="N99" i="2"/>
  <c r="N100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48" i="2"/>
  <c r="N149" i="2"/>
  <c r="N150" i="2"/>
  <c r="N151" i="2"/>
  <c r="N152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5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1" i="2"/>
  <c r="N222" i="2"/>
  <c r="N223" i="2"/>
  <c r="N224" i="2"/>
  <c r="N225" i="2"/>
  <c r="N226" i="2"/>
  <c r="N227" i="2"/>
  <c r="N228" i="2"/>
  <c r="N229" i="2"/>
  <c r="N230" i="2"/>
  <c r="N231" i="2"/>
  <c r="N232" i="2"/>
  <c r="N233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0" i="2"/>
  <c r="N261" i="2"/>
  <c r="N262" i="2"/>
  <c r="N263" i="2"/>
  <c r="N264" i="2"/>
  <c r="N265" i="2"/>
  <c r="N266" i="2"/>
  <c r="N267" i="2"/>
  <c r="N268" i="2"/>
  <c r="N269" i="2"/>
  <c r="N270" i="2"/>
  <c r="N271" i="2"/>
  <c r="N272" i="2"/>
  <c r="N273" i="2"/>
  <c r="N274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1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4" i="2"/>
  <c r="N315" i="2"/>
  <c r="N316" i="2"/>
  <c r="N317" i="2"/>
  <c r="N318" i="2"/>
  <c r="N319" i="2"/>
  <c r="N320" i="2"/>
  <c r="N321" i="2"/>
  <c r="N322" i="2"/>
  <c r="N323" i="2"/>
  <c r="N324" i="2"/>
  <c r="N325" i="2"/>
  <c r="N326" i="2"/>
  <c r="N327" i="2"/>
  <c r="N328" i="2"/>
  <c r="N329" i="2"/>
  <c r="N330" i="2"/>
  <c r="N331" i="2"/>
  <c r="N332" i="2"/>
  <c r="N333" i="2"/>
  <c r="N334" i="2"/>
  <c r="N335" i="2"/>
  <c r="N336" i="2"/>
  <c r="N337" i="2"/>
  <c r="N338" i="2"/>
  <c r="N339" i="2"/>
  <c r="N340" i="2"/>
  <c r="N341" i="2"/>
  <c r="N342" i="2"/>
  <c r="N343" i="2"/>
  <c r="N344" i="2"/>
  <c r="N345" i="2"/>
  <c r="N346" i="2"/>
  <c r="N347" i="2"/>
  <c r="N348" i="2"/>
  <c r="N349" i="2"/>
  <c r="N350" i="2"/>
  <c r="N351" i="2"/>
  <c r="N352" i="2"/>
  <c r="N353" i="2"/>
  <c r="N354" i="2"/>
  <c r="N355" i="2"/>
  <c r="N356" i="2"/>
  <c r="N357" i="2"/>
  <c r="N358" i="2"/>
  <c r="N359" i="2"/>
  <c r="N360" i="2"/>
  <c r="N361" i="2"/>
  <c r="N362" i="2"/>
  <c r="N363" i="2"/>
  <c r="N364" i="2"/>
  <c r="N365" i="2"/>
  <c r="N366" i="2"/>
  <c r="N367" i="2"/>
  <c r="N368" i="2"/>
  <c r="N369" i="2"/>
  <c r="N370" i="2"/>
  <c r="N371" i="2"/>
  <c r="N372" i="2"/>
  <c r="N373" i="2"/>
  <c r="N374" i="2"/>
  <c r="N375" i="2"/>
  <c r="N376" i="2"/>
  <c r="N377" i="2"/>
  <c r="N378" i="2"/>
  <c r="N379" i="2"/>
  <c r="N380" i="2"/>
  <c r="N381" i="2"/>
  <c r="N382" i="2"/>
  <c r="N383" i="2"/>
  <c r="N384" i="2"/>
  <c r="N385" i="2"/>
  <c r="N386" i="2"/>
  <c r="N387" i="2"/>
  <c r="N388" i="2"/>
  <c r="N389" i="2"/>
  <c r="N390" i="2"/>
  <c r="N391" i="2"/>
  <c r="N392" i="2"/>
  <c r="N393" i="2"/>
  <c r="N394" i="2"/>
  <c r="N395" i="2"/>
  <c r="N396" i="2"/>
  <c r="N397" i="2"/>
  <c r="N398" i="2"/>
  <c r="N399" i="2"/>
  <c r="N400" i="2"/>
  <c r="AJ4" i="7"/>
  <c r="AJ5" i="7"/>
  <c r="AJ6" i="7"/>
  <c r="AJ7" i="7"/>
  <c r="AJ8" i="7"/>
  <c r="AJ9" i="7"/>
  <c r="AJ10" i="7"/>
  <c r="AJ11" i="7"/>
  <c r="AJ12" i="7"/>
  <c r="AJ13" i="7"/>
  <c r="AJ14" i="7"/>
  <c r="AJ15" i="7"/>
  <c r="AJ16" i="7"/>
  <c r="AJ17" i="7"/>
  <c r="AJ18" i="7"/>
  <c r="AJ19" i="7"/>
  <c r="AJ20" i="7"/>
  <c r="AJ21" i="7"/>
  <c r="AJ22" i="7"/>
  <c r="AJ23" i="7"/>
  <c r="AJ24" i="7"/>
  <c r="AJ25" i="7"/>
  <c r="AJ26" i="7"/>
  <c r="AJ27" i="7"/>
  <c r="AJ28" i="7"/>
  <c r="AJ29" i="7"/>
  <c r="AJ30" i="7"/>
  <c r="AJ31" i="7"/>
  <c r="AJ32" i="7"/>
  <c r="AJ33" i="7"/>
  <c r="AJ34" i="7"/>
  <c r="AJ35" i="7"/>
  <c r="AJ36" i="7"/>
  <c r="AJ37" i="7"/>
  <c r="AJ38" i="7"/>
  <c r="AJ39" i="7"/>
  <c r="AJ40" i="7"/>
  <c r="AJ41" i="7"/>
  <c r="AJ42" i="7"/>
  <c r="AJ43" i="7"/>
  <c r="AJ44" i="7"/>
  <c r="AJ45" i="7"/>
  <c r="AJ46" i="7"/>
  <c r="AJ47" i="7"/>
  <c r="AJ48" i="7"/>
  <c r="AJ49" i="7"/>
  <c r="AJ50" i="7"/>
  <c r="AJ51" i="7"/>
  <c r="AJ52" i="7"/>
  <c r="AJ53" i="7"/>
  <c r="AJ54" i="7"/>
  <c r="AJ55" i="7"/>
  <c r="AJ56" i="7"/>
  <c r="AJ57" i="7"/>
  <c r="AJ58" i="7"/>
  <c r="AJ59" i="7"/>
  <c r="AJ60" i="7"/>
  <c r="AJ61" i="7"/>
  <c r="AJ62" i="7"/>
  <c r="AJ63" i="7"/>
  <c r="AJ64" i="7"/>
  <c r="AJ65" i="7"/>
  <c r="AJ66" i="7"/>
  <c r="AJ67" i="7"/>
  <c r="AJ68" i="7"/>
  <c r="AJ69" i="7"/>
  <c r="AJ70" i="7"/>
  <c r="AJ71" i="7"/>
  <c r="AJ72" i="7"/>
  <c r="AJ73" i="7"/>
  <c r="AJ74" i="7"/>
  <c r="AJ75" i="7"/>
  <c r="AJ76" i="7"/>
  <c r="AJ77" i="7"/>
  <c r="AJ78" i="7"/>
  <c r="AJ79" i="7"/>
  <c r="AJ80" i="7"/>
  <c r="AJ81" i="7"/>
  <c r="AJ82" i="7"/>
  <c r="AJ83" i="7"/>
  <c r="AJ84" i="7"/>
  <c r="AJ85" i="7"/>
  <c r="AJ86" i="7"/>
  <c r="AJ87" i="7"/>
  <c r="AJ88" i="7"/>
  <c r="AJ89" i="7"/>
  <c r="AJ90" i="7"/>
  <c r="AJ91" i="7"/>
  <c r="AJ92" i="7"/>
  <c r="AJ93" i="7"/>
  <c r="AJ94" i="7"/>
  <c r="AJ95" i="7"/>
  <c r="AJ96" i="7"/>
  <c r="AJ97" i="7"/>
  <c r="AJ98" i="7"/>
  <c r="AJ99" i="7"/>
  <c r="AJ100" i="7"/>
  <c r="AJ101" i="7"/>
  <c r="AJ102" i="7"/>
  <c r="AJ103" i="7"/>
  <c r="AJ104" i="7"/>
  <c r="AJ105" i="7"/>
  <c r="AJ106" i="7"/>
  <c r="AJ107" i="7"/>
  <c r="AJ108" i="7"/>
  <c r="AJ109" i="7"/>
  <c r="AJ110" i="7"/>
  <c r="AJ111" i="7"/>
  <c r="AJ112" i="7"/>
  <c r="AJ113" i="7"/>
  <c r="AJ114" i="7"/>
  <c r="AJ115" i="7"/>
  <c r="AJ116" i="7"/>
  <c r="AJ117" i="7"/>
  <c r="AJ118" i="7"/>
  <c r="AJ119" i="7"/>
  <c r="AJ120" i="7"/>
  <c r="AJ121" i="7"/>
  <c r="AJ122" i="7"/>
  <c r="AJ123" i="7"/>
  <c r="AJ124" i="7"/>
  <c r="AJ125" i="7"/>
  <c r="AJ126" i="7"/>
  <c r="AJ127" i="7"/>
  <c r="AJ128" i="7"/>
  <c r="AJ129" i="7"/>
  <c r="AJ130" i="7"/>
  <c r="AJ131" i="7"/>
  <c r="AJ132" i="7"/>
  <c r="AJ133" i="7"/>
  <c r="AJ134" i="7"/>
  <c r="AJ135" i="7"/>
  <c r="AJ136" i="7"/>
  <c r="AJ137" i="7"/>
  <c r="AJ138" i="7"/>
  <c r="AJ139" i="7"/>
  <c r="AJ140" i="7"/>
  <c r="AJ141" i="7"/>
  <c r="AJ142" i="7"/>
  <c r="AJ143" i="7"/>
  <c r="AJ144" i="7"/>
  <c r="AJ145" i="7"/>
  <c r="AJ146" i="7"/>
  <c r="AJ147" i="7"/>
  <c r="AJ148" i="7"/>
  <c r="AJ149" i="7"/>
  <c r="AJ150" i="7"/>
  <c r="AJ151" i="7"/>
  <c r="AJ152" i="7"/>
  <c r="AJ153" i="7"/>
  <c r="AJ154" i="7"/>
  <c r="AJ155" i="7"/>
  <c r="AJ156" i="7"/>
  <c r="AJ157" i="7"/>
  <c r="AJ158" i="7"/>
  <c r="AJ159" i="7"/>
  <c r="AJ160" i="7"/>
  <c r="AJ161" i="7"/>
  <c r="AJ162" i="7"/>
  <c r="AJ163" i="7"/>
  <c r="AJ164" i="7"/>
  <c r="AJ165" i="7"/>
  <c r="AJ166" i="7"/>
  <c r="AJ167" i="7"/>
  <c r="AJ168" i="7"/>
  <c r="AJ169" i="7"/>
  <c r="AJ170" i="7"/>
  <c r="AJ171" i="7"/>
  <c r="AJ172" i="7"/>
  <c r="AJ173" i="7"/>
  <c r="AJ174" i="7"/>
  <c r="AJ175" i="7"/>
  <c r="AJ176" i="7"/>
  <c r="AJ177" i="7"/>
  <c r="AJ178" i="7"/>
  <c r="AJ179" i="7"/>
  <c r="AJ180" i="7"/>
  <c r="AJ181" i="7"/>
  <c r="AJ182" i="7"/>
  <c r="AJ183" i="7"/>
  <c r="AJ184" i="7"/>
  <c r="AJ185" i="7"/>
  <c r="AJ186" i="7"/>
  <c r="AJ187" i="7"/>
  <c r="AJ188" i="7"/>
  <c r="AJ189" i="7"/>
  <c r="AJ190" i="7"/>
  <c r="AJ191" i="7"/>
  <c r="AJ192" i="7"/>
  <c r="AJ193" i="7"/>
  <c r="AJ194" i="7"/>
  <c r="AJ195" i="7"/>
  <c r="AJ196" i="7"/>
  <c r="AJ197" i="7"/>
  <c r="AJ198" i="7"/>
  <c r="AJ199" i="7"/>
  <c r="AJ200" i="7"/>
  <c r="AJ201" i="7"/>
  <c r="AJ202" i="7"/>
  <c r="AJ203" i="7"/>
  <c r="AJ204" i="7"/>
  <c r="AJ205" i="7"/>
  <c r="AJ206" i="7"/>
  <c r="AJ207" i="7"/>
  <c r="AJ208" i="7"/>
  <c r="AJ209" i="7"/>
  <c r="AJ210" i="7"/>
  <c r="AJ211" i="7"/>
  <c r="AJ212" i="7"/>
  <c r="AJ213" i="7"/>
  <c r="AJ214" i="7"/>
  <c r="AJ215" i="7"/>
  <c r="AJ216" i="7"/>
  <c r="AJ217" i="7"/>
  <c r="AJ218" i="7"/>
  <c r="AJ219" i="7"/>
  <c r="AJ220" i="7"/>
  <c r="AJ221" i="7"/>
  <c r="AJ222" i="7"/>
  <c r="AJ223" i="7"/>
  <c r="AJ224" i="7"/>
  <c r="AJ225" i="7"/>
  <c r="AJ226" i="7"/>
  <c r="AJ227" i="7"/>
  <c r="AJ228" i="7"/>
  <c r="AJ229" i="7"/>
  <c r="AJ230" i="7"/>
  <c r="AJ231" i="7"/>
  <c r="AJ232" i="7"/>
  <c r="AJ233" i="7"/>
  <c r="AJ234" i="7"/>
  <c r="AJ235" i="7"/>
  <c r="AJ236" i="7"/>
  <c r="AJ237" i="7"/>
  <c r="AJ238" i="7"/>
  <c r="AJ239" i="7"/>
  <c r="AJ240" i="7"/>
  <c r="AJ241" i="7"/>
  <c r="AJ242" i="7"/>
  <c r="AJ243" i="7"/>
  <c r="AJ244" i="7"/>
  <c r="AJ245" i="7"/>
  <c r="AJ246" i="7"/>
  <c r="AJ247" i="7"/>
  <c r="AJ248" i="7"/>
  <c r="AJ249" i="7"/>
  <c r="AJ250" i="7"/>
  <c r="AJ251" i="7"/>
  <c r="AJ252" i="7"/>
  <c r="AJ253" i="7"/>
  <c r="AJ254" i="7"/>
  <c r="AJ255" i="7"/>
  <c r="AJ256" i="7"/>
  <c r="AJ257" i="7"/>
  <c r="AJ258" i="7"/>
  <c r="AJ259" i="7"/>
  <c r="AJ260" i="7"/>
  <c r="AJ261" i="7"/>
  <c r="AJ262" i="7"/>
  <c r="AJ263" i="7"/>
  <c r="AJ264" i="7"/>
  <c r="AJ265" i="7"/>
  <c r="AJ266" i="7"/>
  <c r="AJ267" i="7"/>
  <c r="AJ268" i="7"/>
  <c r="AJ269" i="7"/>
  <c r="AJ270" i="7"/>
  <c r="AJ271" i="7"/>
  <c r="AJ272" i="7"/>
  <c r="AJ273" i="7"/>
  <c r="AJ274" i="7"/>
  <c r="AJ275" i="7"/>
  <c r="AJ276" i="7"/>
  <c r="AJ277" i="7"/>
  <c r="AJ278" i="7"/>
  <c r="AJ279" i="7"/>
  <c r="AJ280" i="7"/>
  <c r="AJ281" i="7"/>
  <c r="AJ282" i="7"/>
  <c r="AJ283" i="7"/>
  <c r="AJ284" i="7"/>
  <c r="AJ285" i="7"/>
  <c r="AJ286" i="7"/>
  <c r="AJ287" i="7"/>
  <c r="AJ288" i="7"/>
  <c r="AJ289" i="7"/>
  <c r="AJ290" i="7"/>
  <c r="AJ291" i="7"/>
  <c r="AJ292" i="7"/>
  <c r="AJ293" i="7"/>
  <c r="AJ294" i="7"/>
  <c r="AJ295" i="7"/>
  <c r="AJ296" i="7"/>
  <c r="AJ297" i="7"/>
  <c r="AJ298" i="7"/>
  <c r="AJ299" i="7"/>
  <c r="AJ300" i="7"/>
  <c r="AJ301" i="7"/>
  <c r="AJ302" i="7"/>
  <c r="AJ303" i="7"/>
  <c r="AJ304" i="7"/>
  <c r="AJ305" i="7"/>
  <c r="AJ306" i="7"/>
  <c r="AJ307" i="7"/>
  <c r="AJ308" i="7"/>
  <c r="AJ309" i="7"/>
  <c r="AJ310" i="7"/>
  <c r="AJ311" i="7"/>
  <c r="AJ312" i="7"/>
  <c r="AJ313" i="7"/>
  <c r="AJ314" i="7"/>
  <c r="AJ315" i="7"/>
  <c r="AJ316" i="7"/>
  <c r="AJ317" i="7"/>
  <c r="AJ318" i="7"/>
  <c r="AJ319" i="7"/>
  <c r="AJ320" i="7"/>
  <c r="AJ321" i="7"/>
  <c r="AJ322" i="7"/>
  <c r="AJ323" i="7"/>
  <c r="AJ324" i="7"/>
  <c r="AJ325" i="7"/>
  <c r="AJ326" i="7"/>
  <c r="AJ327" i="7"/>
  <c r="AJ328" i="7"/>
  <c r="AJ329" i="7"/>
  <c r="AJ330" i="7"/>
  <c r="AJ331" i="7"/>
  <c r="AJ3" i="7"/>
  <c r="P401" i="2" l="1"/>
  <c r="O356" i="1"/>
  <c r="P356" i="1"/>
  <c r="O316" i="1"/>
  <c r="P316" i="1"/>
  <c r="P339" i="1"/>
  <c r="O339" i="1"/>
  <c r="O394" i="1"/>
  <c r="P394" i="1"/>
  <c r="O386" i="1"/>
  <c r="P386" i="1"/>
  <c r="O378" i="1"/>
  <c r="P378" i="1"/>
  <c r="O370" i="1"/>
  <c r="P370" i="1"/>
  <c r="O362" i="1"/>
  <c r="P362" i="1"/>
  <c r="O354" i="1"/>
  <c r="P354" i="1"/>
  <c r="O346" i="1"/>
  <c r="P346" i="1"/>
  <c r="O338" i="1"/>
  <c r="P338" i="1"/>
  <c r="O330" i="1"/>
  <c r="P330" i="1"/>
  <c r="O322" i="1"/>
  <c r="P322" i="1"/>
  <c r="P314" i="1"/>
  <c r="O314" i="1"/>
  <c r="P306" i="1"/>
  <c r="O306" i="1"/>
  <c r="O298" i="1"/>
  <c r="P298" i="1"/>
  <c r="O290" i="1"/>
  <c r="P290" i="1"/>
  <c r="O388" i="1"/>
  <c r="P388" i="1"/>
  <c r="O332" i="1"/>
  <c r="P332" i="1"/>
  <c r="O387" i="1"/>
  <c r="P387" i="1"/>
  <c r="O347" i="1"/>
  <c r="P347" i="1"/>
  <c r="O315" i="1"/>
  <c r="P315" i="1"/>
  <c r="O393" i="1"/>
  <c r="P393" i="1"/>
  <c r="O385" i="1"/>
  <c r="P385" i="1"/>
  <c r="O377" i="1"/>
  <c r="P377" i="1"/>
  <c r="O369" i="1"/>
  <c r="P369" i="1"/>
  <c r="O361" i="1"/>
  <c r="P361" i="1"/>
  <c r="O353" i="1"/>
  <c r="P353" i="1"/>
  <c r="O345" i="1"/>
  <c r="P345" i="1"/>
  <c r="O337" i="1"/>
  <c r="P337" i="1"/>
  <c r="O329" i="1"/>
  <c r="P329" i="1"/>
  <c r="O321" i="1"/>
  <c r="P321" i="1"/>
  <c r="O313" i="1"/>
  <c r="P313" i="1"/>
  <c r="O305" i="1"/>
  <c r="P305" i="1"/>
  <c r="O297" i="1"/>
  <c r="P297" i="1"/>
  <c r="O396" i="1"/>
  <c r="P396" i="1"/>
  <c r="O348" i="1"/>
  <c r="P348" i="1"/>
  <c r="O300" i="1"/>
  <c r="P300" i="1"/>
  <c r="O379" i="1"/>
  <c r="P379" i="1"/>
  <c r="P331" i="1"/>
  <c r="O331" i="1"/>
  <c r="O299" i="1"/>
  <c r="P299" i="1"/>
  <c r="O400" i="1"/>
  <c r="P400" i="1"/>
  <c r="O392" i="1"/>
  <c r="P392" i="1"/>
  <c r="O384" i="1"/>
  <c r="P384" i="1"/>
  <c r="O376" i="1"/>
  <c r="P376" i="1"/>
  <c r="O368" i="1"/>
  <c r="P368" i="1"/>
  <c r="O360" i="1"/>
  <c r="P360" i="1"/>
  <c r="O352" i="1"/>
  <c r="P352" i="1"/>
  <c r="O344" i="1"/>
  <c r="P344" i="1"/>
  <c r="O336" i="1"/>
  <c r="P336" i="1"/>
  <c r="O328" i="1"/>
  <c r="P328" i="1"/>
  <c r="O320" i="1"/>
  <c r="P320" i="1"/>
  <c r="O312" i="1"/>
  <c r="P312" i="1"/>
  <c r="O304" i="1"/>
  <c r="P304" i="1"/>
  <c r="O296" i="1"/>
  <c r="P296" i="1"/>
  <c r="O372" i="1"/>
  <c r="P372" i="1"/>
  <c r="O324" i="1"/>
  <c r="P324" i="1"/>
  <c r="O371" i="1"/>
  <c r="P371" i="1"/>
  <c r="O291" i="1"/>
  <c r="P291" i="1"/>
  <c r="O399" i="1"/>
  <c r="P399" i="1"/>
  <c r="O391" i="1"/>
  <c r="P391" i="1"/>
  <c r="O383" i="1"/>
  <c r="P383" i="1"/>
  <c r="O375" i="1"/>
  <c r="P375" i="1"/>
  <c r="O367" i="1"/>
  <c r="P367" i="1"/>
  <c r="O359" i="1"/>
  <c r="P359" i="1"/>
  <c r="O351" i="1"/>
  <c r="P351" i="1"/>
  <c r="O343" i="1"/>
  <c r="P343" i="1"/>
  <c r="O335" i="1"/>
  <c r="P335" i="1"/>
  <c r="O327" i="1"/>
  <c r="P327" i="1"/>
  <c r="O319" i="1"/>
  <c r="P319" i="1"/>
  <c r="O311" i="1"/>
  <c r="P311" i="1"/>
  <c r="O303" i="1"/>
  <c r="P303" i="1"/>
  <c r="O295" i="1"/>
  <c r="P295" i="1"/>
  <c r="O380" i="1"/>
  <c r="P380" i="1"/>
  <c r="O340" i="1"/>
  <c r="P340" i="1"/>
  <c r="O292" i="1"/>
  <c r="P292" i="1"/>
  <c r="O395" i="1"/>
  <c r="P395" i="1"/>
  <c r="O355" i="1"/>
  <c r="P355" i="1"/>
  <c r="P307" i="1"/>
  <c r="O307" i="1"/>
  <c r="O398" i="1"/>
  <c r="P398" i="1"/>
  <c r="O390" i="1"/>
  <c r="P390" i="1"/>
  <c r="O382" i="1"/>
  <c r="P382" i="1"/>
  <c r="O374" i="1"/>
  <c r="P374" i="1"/>
  <c r="O366" i="1"/>
  <c r="P366" i="1"/>
  <c r="O358" i="1"/>
  <c r="P358" i="1"/>
  <c r="O350" i="1"/>
  <c r="P350" i="1"/>
  <c r="O342" i="1"/>
  <c r="P342" i="1"/>
  <c r="O334" i="1"/>
  <c r="P334" i="1"/>
  <c r="O326" i="1"/>
  <c r="P326" i="1"/>
  <c r="O318" i="1"/>
  <c r="P318" i="1"/>
  <c r="O310" i="1"/>
  <c r="P310" i="1"/>
  <c r="O302" i="1"/>
  <c r="P302" i="1"/>
  <c r="O294" i="1"/>
  <c r="P294" i="1"/>
  <c r="O364" i="1"/>
  <c r="P364" i="1"/>
  <c r="O308" i="1"/>
  <c r="P308" i="1"/>
  <c r="O363" i="1"/>
  <c r="P363" i="1"/>
  <c r="O323" i="1"/>
  <c r="P323" i="1"/>
  <c r="O397" i="1"/>
  <c r="P397" i="1"/>
  <c r="O389" i="1"/>
  <c r="P389" i="1"/>
  <c r="O381" i="1"/>
  <c r="P381" i="1"/>
  <c r="O373" i="1"/>
  <c r="P373" i="1"/>
  <c r="O365" i="1"/>
  <c r="P365" i="1"/>
  <c r="O357" i="1"/>
  <c r="P357" i="1"/>
  <c r="P349" i="1"/>
  <c r="O349" i="1"/>
  <c r="P341" i="1"/>
  <c r="O341" i="1"/>
  <c r="P333" i="1"/>
  <c r="O333" i="1"/>
  <c r="P325" i="1"/>
  <c r="O325" i="1"/>
  <c r="P317" i="1"/>
  <c r="O317" i="1"/>
  <c r="P309" i="1"/>
  <c r="O309" i="1"/>
  <c r="P301" i="1"/>
  <c r="O301" i="1"/>
  <c r="P293" i="1"/>
  <c r="O293" i="1"/>
  <c r="R9" i="2"/>
  <c r="U9" i="2" s="1"/>
  <c r="R13" i="2"/>
  <c r="U13" i="2" s="1"/>
  <c r="R12" i="2"/>
  <c r="S12" i="2" s="1"/>
  <c r="R11" i="2"/>
  <c r="R10" i="2"/>
  <c r="V10" i="2" s="1"/>
  <c r="R8" i="2"/>
  <c r="S8" i="2" s="1"/>
  <c r="R7" i="2"/>
  <c r="V7" i="2" s="1"/>
  <c r="T315" i="2"/>
  <c r="T347" i="2"/>
  <c r="T371" i="2"/>
  <c r="T339" i="2"/>
  <c r="T307" i="2"/>
  <c r="T379" i="2"/>
  <c r="T399" i="2"/>
  <c r="T331" i="2"/>
  <c r="T391" i="2"/>
  <c r="T299" i="2"/>
  <c r="T387" i="2"/>
  <c r="T355" i="2"/>
  <c r="T323" i="2"/>
  <c r="T291" i="2"/>
  <c r="T395" i="2"/>
  <c r="T363" i="2"/>
  <c r="T287" i="2"/>
  <c r="S61" i="2"/>
  <c r="T213" i="2"/>
  <c r="T85" i="2"/>
  <c r="U385" i="2"/>
  <c r="U193" i="2"/>
  <c r="U33" i="2"/>
  <c r="T280" i="2"/>
  <c r="U280" i="2"/>
  <c r="T272" i="2"/>
  <c r="U272" i="2"/>
  <c r="T264" i="2"/>
  <c r="U264" i="2"/>
  <c r="T256" i="2"/>
  <c r="U256" i="2"/>
  <c r="T248" i="2"/>
  <c r="U248" i="2"/>
  <c r="T240" i="2"/>
  <c r="U240" i="2"/>
  <c r="T232" i="2"/>
  <c r="U232" i="2"/>
  <c r="T224" i="2"/>
  <c r="U224" i="2"/>
  <c r="T216" i="2"/>
  <c r="U216" i="2"/>
  <c r="T208" i="2"/>
  <c r="U208" i="2"/>
  <c r="T200" i="2"/>
  <c r="U200" i="2"/>
  <c r="T192" i="2"/>
  <c r="U192" i="2"/>
  <c r="T184" i="2"/>
  <c r="U184" i="2"/>
  <c r="T176" i="2"/>
  <c r="U176" i="2"/>
  <c r="T168" i="2"/>
  <c r="U168" i="2"/>
  <c r="T160" i="2"/>
  <c r="U160" i="2"/>
  <c r="T152" i="2"/>
  <c r="U152" i="2"/>
  <c r="T144" i="2"/>
  <c r="U144" i="2"/>
  <c r="T136" i="2"/>
  <c r="U136" i="2"/>
  <c r="T128" i="2"/>
  <c r="U128" i="2"/>
  <c r="T120" i="2"/>
  <c r="U120" i="2"/>
  <c r="T112" i="2"/>
  <c r="U112" i="2"/>
  <c r="T104" i="2"/>
  <c r="U104" i="2"/>
  <c r="T96" i="2"/>
  <c r="U96" i="2"/>
  <c r="T88" i="2"/>
  <c r="U88" i="2"/>
  <c r="T80" i="2"/>
  <c r="U80" i="2"/>
  <c r="T72" i="2"/>
  <c r="U72" i="2"/>
  <c r="T64" i="2"/>
  <c r="U64" i="2"/>
  <c r="T56" i="2"/>
  <c r="U56" i="2"/>
  <c r="T48" i="2"/>
  <c r="U48" i="2"/>
  <c r="T40" i="2"/>
  <c r="U40" i="2"/>
  <c r="T32" i="2"/>
  <c r="U32" i="2"/>
  <c r="T24" i="2"/>
  <c r="U24" i="2"/>
  <c r="T16" i="2"/>
  <c r="U16" i="2"/>
  <c r="T394" i="2"/>
  <c r="T338" i="2"/>
  <c r="T330" i="2"/>
  <c r="T290" i="2"/>
  <c r="T273" i="2"/>
  <c r="T241" i="2"/>
  <c r="T209" i="2"/>
  <c r="T177" i="2"/>
  <c r="T145" i="2"/>
  <c r="T113" i="2"/>
  <c r="T81" i="2"/>
  <c r="T49" i="2"/>
  <c r="T17" i="2"/>
  <c r="U381" i="2"/>
  <c r="U349" i="2"/>
  <c r="U317" i="2"/>
  <c r="U285" i="2"/>
  <c r="U253" i="2"/>
  <c r="U221" i="2"/>
  <c r="U189" i="2"/>
  <c r="U157" i="2"/>
  <c r="U125" i="2"/>
  <c r="U93" i="2"/>
  <c r="U61" i="2"/>
  <c r="U29" i="2"/>
  <c r="T277" i="2"/>
  <c r="T181" i="2"/>
  <c r="T53" i="2"/>
  <c r="U353" i="2"/>
  <c r="U321" i="2"/>
  <c r="U289" i="2"/>
  <c r="U225" i="2"/>
  <c r="U129" i="2"/>
  <c r="U65" i="2"/>
  <c r="S383" i="2"/>
  <c r="U383" i="2"/>
  <c r="S375" i="2"/>
  <c r="U375" i="2"/>
  <c r="S367" i="2"/>
  <c r="U367" i="2"/>
  <c r="S359" i="2"/>
  <c r="U359" i="2"/>
  <c r="S351" i="2"/>
  <c r="U351" i="2"/>
  <c r="S343" i="2"/>
  <c r="U343" i="2"/>
  <c r="S335" i="2"/>
  <c r="U335" i="2"/>
  <c r="S327" i="2"/>
  <c r="U327" i="2"/>
  <c r="S319" i="2"/>
  <c r="U319" i="2"/>
  <c r="S311" i="2"/>
  <c r="U311" i="2"/>
  <c r="S303" i="2"/>
  <c r="U303" i="2"/>
  <c r="S295" i="2"/>
  <c r="U295" i="2"/>
  <c r="T279" i="2"/>
  <c r="U279" i="2"/>
  <c r="S271" i="2"/>
  <c r="T271" i="2"/>
  <c r="U271" i="2"/>
  <c r="S263" i="2"/>
  <c r="T263" i="2"/>
  <c r="U263" i="2"/>
  <c r="S255" i="2"/>
  <c r="T255" i="2"/>
  <c r="U255" i="2"/>
  <c r="S247" i="2"/>
  <c r="T247" i="2"/>
  <c r="U247" i="2"/>
  <c r="S239" i="2"/>
  <c r="T239" i="2"/>
  <c r="U239" i="2"/>
  <c r="T231" i="2"/>
  <c r="U231" i="2"/>
  <c r="T223" i="2"/>
  <c r="U223" i="2"/>
  <c r="T215" i="2"/>
  <c r="U215" i="2"/>
  <c r="S207" i="2"/>
  <c r="T207" i="2"/>
  <c r="U207" i="2"/>
  <c r="S199" i="2"/>
  <c r="T199" i="2"/>
  <c r="U199" i="2"/>
  <c r="S191" i="2"/>
  <c r="T191" i="2"/>
  <c r="U191" i="2"/>
  <c r="S183" i="2"/>
  <c r="T183" i="2"/>
  <c r="U183" i="2"/>
  <c r="S175" i="2"/>
  <c r="T175" i="2"/>
  <c r="U175" i="2"/>
  <c r="T167" i="2"/>
  <c r="U167" i="2"/>
  <c r="T159" i="2"/>
  <c r="U159" i="2"/>
  <c r="T151" i="2"/>
  <c r="U151" i="2"/>
  <c r="S143" i="2"/>
  <c r="T143" i="2"/>
  <c r="U143" i="2"/>
  <c r="S135" i="2"/>
  <c r="T135" i="2"/>
  <c r="U135" i="2"/>
  <c r="S127" i="2"/>
  <c r="T127" i="2"/>
  <c r="U127" i="2"/>
  <c r="S119" i="2"/>
  <c r="T119" i="2"/>
  <c r="U119" i="2"/>
  <c r="S111" i="2"/>
  <c r="T111" i="2"/>
  <c r="U111" i="2"/>
  <c r="T103" i="2"/>
  <c r="U103" i="2"/>
  <c r="T95" i="2"/>
  <c r="U95" i="2"/>
  <c r="T87" i="2"/>
  <c r="U87" i="2"/>
  <c r="S79" i="2"/>
  <c r="T79" i="2"/>
  <c r="U79" i="2"/>
  <c r="S71" i="2"/>
  <c r="T71" i="2"/>
  <c r="U71" i="2"/>
  <c r="S63" i="2"/>
  <c r="T63" i="2"/>
  <c r="U63" i="2"/>
  <c r="S55" i="2"/>
  <c r="T55" i="2"/>
  <c r="U55" i="2"/>
  <c r="S47" i="2"/>
  <c r="T47" i="2"/>
  <c r="U47" i="2"/>
  <c r="T39" i="2"/>
  <c r="U39" i="2"/>
  <c r="T31" i="2"/>
  <c r="U31" i="2"/>
  <c r="T23" i="2"/>
  <c r="U23" i="2"/>
  <c r="S15" i="2"/>
  <c r="T15" i="2"/>
  <c r="U15" i="2"/>
  <c r="T393" i="2"/>
  <c r="T377" i="2"/>
  <c r="T369" i="2"/>
  <c r="T361" i="2"/>
  <c r="T345" i="2"/>
  <c r="T337" i="2"/>
  <c r="T329" i="2"/>
  <c r="T313" i="2"/>
  <c r="T305" i="2"/>
  <c r="T297" i="2"/>
  <c r="T269" i="2"/>
  <c r="T237" i="2"/>
  <c r="T205" i="2"/>
  <c r="T173" i="2"/>
  <c r="T141" i="2"/>
  <c r="T109" i="2"/>
  <c r="T77" i="2"/>
  <c r="T45" i="2"/>
  <c r="U281" i="2"/>
  <c r="U249" i="2"/>
  <c r="U217" i="2"/>
  <c r="U185" i="2"/>
  <c r="U153" i="2"/>
  <c r="U121" i="2"/>
  <c r="U89" i="2"/>
  <c r="U57" i="2"/>
  <c r="U25" i="2"/>
  <c r="T245" i="2"/>
  <c r="T149" i="2"/>
  <c r="T117" i="2"/>
  <c r="T21" i="2"/>
  <c r="U257" i="2"/>
  <c r="U161" i="2"/>
  <c r="U97" i="2"/>
  <c r="T278" i="2"/>
  <c r="U278" i="2"/>
  <c r="T270" i="2"/>
  <c r="U270" i="2"/>
  <c r="T262" i="2"/>
  <c r="U262" i="2"/>
  <c r="T254" i="2"/>
  <c r="U254" i="2"/>
  <c r="T246" i="2"/>
  <c r="U246" i="2"/>
  <c r="T238" i="2"/>
  <c r="U238" i="2"/>
  <c r="T230" i="2"/>
  <c r="U230" i="2"/>
  <c r="T222" i="2"/>
  <c r="U222" i="2"/>
  <c r="T214" i="2"/>
  <c r="U214" i="2"/>
  <c r="T206" i="2"/>
  <c r="U206" i="2"/>
  <c r="T198" i="2"/>
  <c r="U198" i="2"/>
  <c r="T190" i="2"/>
  <c r="U190" i="2"/>
  <c r="T182" i="2"/>
  <c r="U182" i="2"/>
  <c r="T174" i="2"/>
  <c r="U174" i="2"/>
  <c r="T166" i="2"/>
  <c r="U166" i="2"/>
  <c r="T158" i="2"/>
  <c r="U158" i="2"/>
  <c r="T150" i="2"/>
  <c r="U150" i="2"/>
  <c r="T142" i="2"/>
  <c r="U142" i="2"/>
  <c r="T134" i="2"/>
  <c r="U134" i="2"/>
  <c r="T126" i="2"/>
  <c r="U126" i="2"/>
  <c r="T118" i="2"/>
  <c r="U118" i="2"/>
  <c r="T110" i="2"/>
  <c r="U110" i="2"/>
  <c r="T102" i="2"/>
  <c r="U102" i="2"/>
  <c r="T94" i="2"/>
  <c r="U94" i="2"/>
  <c r="T86" i="2"/>
  <c r="U86" i="2"/>
  <c r="T78" i="2"/>
  <c r="U78" i="2"/>
  <c r="T70" i="2"/>
  <c r="U70" i="2"/>
  <c r="T62" i="2"/>
  <c r="U62" i="2"/>
  <c r="T54" i="2"/>
  <c r="U54" i="2"/>
  <c r="T46" i="2"/>
  <c r="U46" i="2"/>
  <c r="T38" i="2"/>
  <c r="U38" i="2"/>
  <c r="T30" i="2"/>
  <c r="U30" i="2"/>
  <c r="T22" i="2"/>
  <c r="U22" i="2"/>
  <c r="T14" i="2"/>
  <c r="U14" i="2"/>
  <c r="T400" i="2"/>
  <c r="T392" i="2"/>
  <c r="T384" i="2"/>
  <c r="T376" i="2"/>
  <c r="T368" i="2"/>
  <c r="T360" i="2"/>
  <c r="T352" i="2"/>
  <c r="T344" i="2"/>
  <c r="T336" i="2"/>
  <c r="T328" i="2"/>
  <c r="T320" i="2"/>
  <c r="T312" i="2"/>
  <c r="T304" i="2"/>
  <c r="T296" i="2"/>
  <c r="T288" i="2"/>
  <c r="T265" i="2"/>
  <c r="T233" i="2"/>
  <c r="T201" i="2"/>
  <c r="T169" i="2"/>
  <c r="T137" i="2"/>
  <c r="T105" i="2"/>
  <c r="T73" i="2"/>
  <c r="T41" i="2"/>
  <c r="U373" i="2"/>
  <c r="U341" i="2"/>
  <c r="U309" i="2"/>
  <c r="U213" i="2"/>
  <c r="T261" i="2"/>
  <c r="T165" i="2"/>
  <c r="T69" i="2"/>
  <c r="R3" i="2"/>
  <c r="T3" i="2" s="1"/>
  <c r="S388" i="2"/>
  <c r="U388" i="2"/>
  <c r="S380" i="2"/>
  <c r="U380" i="2"/>
  <c r="S372" i="2"/>
  <c r="U372" i="2"/>
  <c r="S356" i="2"/>
  <c r="U356" i="2"/>
  <c r="S348" i="2"/>
  <c r="U348" i="2"/>
  <c r="S340" i="2"/>
  <c r="U340" i="2"/>
  <c r="S324" i="2"/>
  <c r="U324" i="2"/>
  <c r="S316" i="2"/>
  <c r="U316" i="2"/>
  <c r="S308" i="2"/>
  <c r="U308" i="2"/>
  <c r="S292" i="2"/>
  <c r="U292" i="2"/>
  <c r="S284" i="2"/>
  <c r="U284" i="2"/>
  <c r="T284" i="2"/>
  <c r="S276" i="2"/>
  <c r="U276" i="2"/>
  <c r="T276" i="2"/>
  <c r="U268" i="2"/>
  <c r="T268" i="2"/>
  <c r="S260" i="2"/>
  <c r="U260" i="2"/>
  <c r="T260" i="2"/>
  <c r="S252" i="2"/>
  <c r="U252" i="2"/>
  <c r="T252" i="2"/>
  <c r="S244" i="2"/>
  <c r="U244" i="2"/>
  <c r="T244" i="2"/>
  <c r="U236" i="2"/>
  <c r="T236" i="2"/>
  <c r="S228" i="2"/>
  <c r="U228" i="2"/>
  <c r="T228" i="2"/>
  <c r="S220" i="2"/>
  <c r="U220" i="2"/>
  <c r="T220" i="2"/>
  <c r="S212" i="2"/>
  <c r="U212" i="2"/>
  <c r="T212" i="2"/>
  <c r="U204" i="2"/>
  <c r="T204" i="2"/>
  <c r="S196" i="2"/>
  <c r="U196" i="2"/>
  <c r="T196" i="2"/>
  <c r="S188" i="2"/>
  <c r="U188" i="2"/>
  <c r="T188" i="2"/>
  <c r="S180" i="2"/>
  <c r="U180" i="2"/>
  <c r="T180" i="2"/>
  <c r="U172" i="2"/>
  <c r="T172" i="2"/>
  <c r="S164" i="2"/>
  <c r="U164" i="2"/>
  <c r="T164" i="2"/>
  <c r="S156" i="2"/>
  <c r="U156" i="2"/>
  <c r="T156" i="2"/>
  <c r="S148" i="2"/>
  <c r="U148" i="2"/>
  <c r="T148" i="2"/>
  <c r="S140" i="2"/>
  <c r="U140" i="2"/>
  <c r="T140" i="2"/>
  <c r="S132" i="2"/>
  <c r="U132" i="2"/>
  <c r="T132" i="2"/>
  <c r="S124" i="2"/>
  <c r="U124" i="2"/>
  <c r="T124" i="2"/>
  <c r="S116" i="2"/>
  <c r="U116" i="2"/>
  <c r="T116" i="2"/>
  <c r="S108" i="2"/>
  <c r="U108" i="2"/>
  <c r="T108" i="2"/>
  <c r="S100" i="2"/>
  <c r="U100" i="2"/>
  <c r="T100" i="2"/>
  <c r="S92" i="2"/>
  <c r="U92" i="2"/>
  <c r="T92" i="2"/>
  <c r="S84" i="2"/>
  <c r="U84" i="2"/>
  <c r="T84" i="2"/>
  <c r="S76" i="2"/>
  <c r="U76" i="2"/>
  <c r="T76" i="2"/>
  <c r="S68" i="2"/>
  <c r="U68" i="2"/>
  <c r="T68" i="2"/>
  <c r="S60" i="2"/>
  <c r="U60" i="2"/>
  <c r="T60" i="2"/>
  <c r="S52" i="2"/>
  <c r="U52" i="2"/>
  <c r="T52" i="2"/>
  <c r="S44" i="2"/>
  <c r="U44" i="2"/>
  <c r="T44" i="2"/>
  <c r="S36" i="2"/>
  <c r="U36" i="2"/>
  <c r="T36" i="2"/>
  <c r="S28" i="2"/>
  <c r="U28" i="2"/>
  <c r="T28" i="2"/>
  <c r="S20" i="2"/>
  <c r="U20" i="2"/>
  <c r="T20" i="2"/>
  <c r="S285" i="2"/>
  <c r="T398" i="2"/>
  <c r="T390" i="2"/>
  <c r="T382" i="2"/>
  <c r="T374" i="2"/>
  <c r="T366" i="2"/>
  <c r="T358" i="2"/>
  <c r="T350" i="2"/>
  <c r="T342" i="2"/>
  <c r="T334" i="2"/>
  <c r="T326" i="2"/>
  <c r="T318" i="2"/>
  <c r="T310" i="2"/>
  <c r="T302" i="2"/>
  <c r="T294" i="2"/>
  <c r="T286" i="2"/>
  <c r="U397" i="2"/>
  <c r="U365" i="2"/>
  <c r="U333" i="2"/>
  <c r="U301" i="2"/>
  <c r="S373" i="2"/>
  <c r="T197" i="2"/>
  <c r="U283" i="2"/>
  <c r="T283" i="2"/>
  <c r="U275" i="2"/>
  <c r="T275" i="2"/>
  <c r="U267" i="2"/>
  <c r="T267" i="2"/>
  <c r="U259" i="2"/>
  <c r="T259" i="2"/>
  <c r="U251" i="2"/>
  <c r="T251" i="2"/>
  <c r="U243" i="2"/>
  <c r="T243" i="2"/>
  <c r="U235" i="2"/>
  <c r="T235" i="2"/>
  <c r="U227" i="2"/>
  <c r="T227" i="2"/>
  <c r="U219" i="2"/>
  <c r="T219" i="2"/>
  <c r="U211" i="2"/>
  <c r="T211" i="2"/>
  <c r="U203" i="2"/>
  <c r="T203" i="2"/>
  <c r="U195" i="2"/>
  <c r="T195" i="2"/>
  <c r="U187" i="2"/>
  <c r="T187" i="2"/>
  <c r="U179" i="2"/>
  <c r="T179" i="2"/>
  <c r="U171" i="2"/>
  <c r="T171" i="2"/>
  <c r="U163" i="2"/>
  <c r="T163" i="2"/>
  <c r="U155" i="2"/>
  <c r="T155" i="2"/>
  <c r="U147" i="2"/>
  <c r="T147" i="2"/>
  <c r="U139" i="2"/>
  <c r="T139" i="2"/>
  <c r="U131" i="2"/>
  <c r="T131" i="2"/>
  <c r="U123" i="2"/>
  <c r="T123" i="2"/>
  <c r="U115" i="2"/>
  <c r="T115" i="2"/>
  <c r="U107" i="2"/>
  <c r="T107" i="2"/>
  <c r="U99" i="2"/>
  <c r="T99" i="2"/>
  <c r="U91" i="2"/>
  <c r="T91" i="2"/>
  <c r="U83" i="2"/>
  <c r="T83" i="2"/>
  <c r="U75" i="2"/>
  <c r="T75" i="2"/>
  <c r="U67" i="2"/>
  <c r="T67" i="2"/>
  <c r="U59" i="2"/>
  <c r="T59" i="2"/>
  <c r="U51" i="2"/>
  <c r="T51" i="2"/>
  <c r="U43" i="2"/>
  <c r="T43" i="2"/>
  <c r="U35" i="2"/>
  <c r="T35" i="2"/>
  <c r="U27" i="2"/>
  <c r="T27" i="2"/>
  <c r="U19" i="2"/>
  <c r="T19" i="2"/>
  <c r="T389" i="2"/>
  <c r="T357" i="2"/>
  <c r="T325" i="2"/>
  <c r="T293" i="2"/>
  <c r="T229" i="2"/>
  <c r="T133" i="2"/>
  <c r="T101" i="2"/>
  <c r="T37" i="2"/>
  <c r="S386" i="2"/>
  <c r="U386" i="2"/>
  <c r="S378" i="2"/>
  <c r="U378" i="2"/>
  <c r="S370" i="2"/>
  <c r="U370" i="2"/>
  <c r="S362" i="2"/>
  <c r="U362" i="2"/>
  <c r="S354" i="2"/>
  <c r="U354" i="2"/>
  <c r="S346" i="2"/>
  <c r="U346" i="2"/>
  <c r="S322" i="2"/>
  <c r="U322" i="2"/>
  <c r="S314" i="2"/>
  <c r="U314" i="2"/>
  <c r="S306" i="2"/>
  <c r="U306" i="2"/>
  <c r="S298" i="2"/>
  <c r="U298" i="2"/>
  <c r="U282" i="2"/>
  <c r="T282" i="2"/>
  <c r="U274" i="2"/>
  <c r="T274" i="2"/>
  <c r="U266" i="2"/>
  <c r="T266" i="2"/>
  <c r="U258" i="2"/>
  <c r="T258" i="2"/>
  <c r="U250" i="2"/>
  <c r="T250" i="2"/>
  <c r="U242" i="2"/>
  <c r="T242" i="2"/>
  <c r="U234" i="2"/>
  <c r="T234" i="2"/>
  <c r="U226" i="2"/>
  <c r="T226" i="2"/>
  <c r="U218" i="2"/>
  <c r="T218" i="2"/>
  <c r="U210" i="2"/>
  <c r="T210" i="2"/>
  <c r="U202" i="2"/>
  <c r="T202" i="2"/>
  <c r="U194" i="2"/>
  <c r="T194" i="2"/>
  <c r="U186" i="2"/>
  <c r="T186" i="2"/>
  <c r="U178" i="2"/>
  <c r="T178" i="2"/>
  <c r="U170" i="2"/>
  <c r="T170" i="2"/>
  <c r="U162" i="2"/>
  <c r="T162" i="2"/>
  <c r="U154" i="2"/>
  <c r="T154" i="2"/>
  <c r="U146" i="2"/>
  <c r="T146" i="2"/>
  <c r="U138" i="2"/>
  <c r="T138" i="2"/>
  <c r="U130" i="2"/>
  <c r="T130" i="2"/>
  <c r="U122" i="2"/>
  <c r="T122" i="2"/>
  <c r="U114" i="2"/>
  <c r="T114" i="2"/>
  <c r="U106" i="2"/>
  <c r="T106" i="2"/>
  <c r="U98" i="2"/>
  <c r="T98" i="2"/>
  <c r="U90" i="2"/>
  <c r="T90" i="2"/>
  <c r="U82" i="2"/>
  <c r="T82" i="2"/>
  <c r="U74" i="2"/>
  <c r="T74" i="2"/>
  <c r="U66" i="2"/>
  <c r="T66" i="2"/>
  <c r="U58" i="2"/>
  <c r="T58" i="2"/>
  <c r="U50" i="2"/>
  <c r="T50" i="2"/>
  <c r="U42" i="2"/>
  <c r="T42" i="2"/>
  <c r="U34" i="2"/>
  <c r="T34" i="2"/>
  <c r="U26" i="2"/>
  <c r="T26" i="2"/>
  <c r="U18" i="2"/>
  <c r="T18" i="2"/>
  <c r="S101" i="2"/>
  <c r="T396" i="2"/>
  <c r="T388" i="2"/>
  <c r="T380" i="2"/>
  <c r="T372" i="2"/>
  <c r="T364" i="2"/>
  <c r="T356" i="2"/>
  <c r="T348" i="2"/>
  <c r="T340" i="2"/>
  <c r="T332" i="2"/>
  <c r="T324" i="2"/>
  <c r="T316" i="2"/>
  <c r="T308" i="2"/>
  <c r="T300" i="2"/>
  <c r="T292" i="2"/>
  <c r="U4" i="2"/>
  <c r="S253" i="2"/>
  <c r="S133" i="2"/>
  <c r="S245" i="2"/>
  <c r="S125" i="2"/>
  <c r="S37" i="2"/>
  <c r="S381" i="2"/>
  <c r="S29" i="2"/>
  <c r="S2" i="2"/>
  <c r="S341" i="2"/>
  <c r="S197" i="2"/>
  <c r="S93" i="2"/>
  <c r="S325" i="2"/>
  <c r="S165" i="2"/>
  <c r="S293" i="2"/>
  <c r="S157" i="2"/>
  <c r="S69" i="2"/>
  <c r="S389" i="2"/>
  <c r="S349" i="2"/>
  <c r="S309" i="2"/>
  <c r="S261" i="2"/>
  <c r="S221" i="2"/>
  <c r="S181" i="2"/>
  <c r="S141" i="2"/>
  <c r="S109" i="2"/>
  <c r="S77" i="2"/>
  <c r="S45" i="2"/>
  <c r="S301" i="2"/>
  <c r="S173" i="2"/>
  <c r="S333" i="2"/>
  <c r="S205" i="2"/>
  <c r="S365" i="2"/>
  <c r="S237" i="2"/>
  <c r="S357" i="2"/>
  <c r="S317" i="2"/>
  <c r="S277" i="2"/>
  <c r="S229" i="2"/>
  <c r="S189" i="2"/>
  <c r="S149" i="2"/>
  <c r="S117" i="2"/>
  <c r="S85" i="2"/>
  <c r="S53" i="2"/>
  <c r="S21" i="2"/>
  <c r="S397" i="2"/>
  <c r="S269" i="2"/>
  <c r="S392" i="2"/>
  <c r="S352" i="2"/>
  <c r="S312" i="2"/>
  <c r="S264" i="2"/>
  <c r="S216" i="2"/>
  <c r="S168" i="2"/>
  <c r="S152" i="2"/>
  <c r="S136" i="2"/>
  <c r="S112" i="2"/>
  <c r="S80" i="2"/>
  <c r="S48" i="2"/>
  <c r="S24" i="2"/>
  <c r="S384" i="2"/>
  <c r="S328" i="2"/>
  <c r="S280" i="2"/>
  <c r="S232" i="2"/>
  <c r="S200" i="2"/>
  <c r="S184" i="2"/>
  <c r="S144" i="2"/>
  <c r="S104" i="2"/>
  <c r="S64" i="2"/>
  <c r="S396" i="2"/>
  <c r="S364" i="2"/>
  <c r="S332" i="2"/>
  <c r="S300" i="2"/>
  <c r="S268" i="2"/>
  <c r="S236" i="2"/>
  <c r="S204" i="2"/>
  <c r="S172" i="2"/>
  <c r="S368" i="2"/>
  <c r="S336" i="2"/>
  <c r="S304" i="2"/>
  <c r="S288" i="2"/>
  <c r="S224" i="2"/>
  <c r="S176" i="2"/>
  <c r="S128" i="2"/>
  <c r="S96" i="2"/>
  <c r="S72" i="2"/>
  <c r="S40" i="2"/>
  <c r="S16" i="2"/>
  <c r="S376" i="2"/>
  <c r="S248" i="2"/>
  <c r="S400" i="2"/>
  <c r="S344" i="2"/>
  <c r="S256" i="2"/>
  <c r="S393" i="2"/>
  <c r="S385" i="2"/>
  <c r="S377" i="2"/>
  <c r="S369" i="2"/>
  <c r="S361" i="2"/>
  <c r="S353" i="2"/>
  <c r="S345" i="2"/>
  <c r="S337" i="2"/>
  <c r="S329" i="2"/>
  <c r="S321" i="2"/>
  <c r="S313" i="2"/>
  <c r="S305" i="2"/>
  <c r="S297" i="2"/>
  <c r="S289" i="2"/>
  <c r="S281" i="2"/>
  <c r="S273" i="2"/>
  <c r="S265" i="2"/>
  <c r="S257" i="2"/>
  <c r="S249" i="2"/>
  <c r="S241" i="2"/>
  <c r="S233" i="2"/>
  <c r="S225" i="2"/>
  <c r="S217" i="2"/>
  <c r="S209" i="2"/>
  <c r="S201" i="2"/>
  <c r="S193" i="2"/>
  <c r="S185" i="2"/>
  <c r="S177" i="2"/>
  <c r="S169" i="2"/>
  <c r="S161" i="2"/>
  <c r="S153" i="2"/>
  <c r="S145" i="2"/>
  <c r="S137" i="2"/>
  <c r="S129" i="2"/>
  <c r="S121" i="2"/>
  <c r="S113" i="2"/>
  <c r="S105" i="2"/>
  <c r="S360" i="2"/>
  <c r="S320" i="2"/>
  <c r="S296" i="2"/>
  <c r="S272" i="2"/>
  <c r="S240" i="2"/>
  <c r="S208" i="2"/>
  <c r="S192" i="2"/>
  <c r="S160" i="2"/>
  <c r="S120" i="2"/>
  <c r="S88" i="2"/>
  <c r="S56" i="2"/>
  <c r="S32" i="2"/>
  <c r="R5" i="2"/>
  <c r="S399" i="2"/>
  <c r="S391" i="2"/>
  <c r="S287" i="2"/>
  <c r="S279" i="2"/>
  <c r="S231" i="2"/>
  <c r="S223" i="2"/>
  <c r="S215" i="2"/>
  <c r="S167" i="2"/>
  <c r="S159" i="2"/>
  <c r="S151" i="2"/>
  <c r="S103" i="2"/>
  <c r="S95" i="2"/>
  <c r="S87" i="2"/>
  <c r="S39" i="2"/>
  <c r="S31" i="2"/>
  <c r="S23" i="2"/>
  <c r="S398" i="2"/>
  <c r="S390" i="2"/>
  <c r="S382" i="2"/>
  <c r="S374" i="2"/>
  <c r="S366" i="2"/>
  <c r="S358" i="2"/>
  <c r="S350" i="2"/>
  <c r="S342" i="2"/>
  <c r="S334" i="2"/>
  <c r="S326" i="2"/>
  <c r="S318" i="2"/>
  <c r="S310" i="2"/>
  <c r="S302" i="2"/>
  <c r="S294" i="2"/>
  <c r="S286" i="2"/>
  <c r="S278" i="2"/>
  <c r="S270" i="2"/>
  <c r="S262" i="2"/>
  <c r="S254" i="2"/>
  <c r="S246" i="2"/>
  <c r="S238" i="2"/>
  <c r="S230" i="2"/>
  <c r="S222" i="2"/>
  <c r="S214" i="2"/>
  <c r="S206" i="2"/>
  <c r="S198" i="2"/>
  <c r="S190" i="2"/>
  <c r="S182" i="2"/>
  <c r="S174" i="2"/>
  <c r="S166" i="2"/>
  <c r="S158" i="2"/>
  <c r="S150" i="2"/>
  <c r="S142" i="2"/>
  <c r="S134" i="2"/>
  <c r="S126" i="2"/>
  <c r="S118" i="2"/>
  <c r="S110" i="2"/>
  <c r="S102" i="2"/>
  <c r="S94" i="2"/>
  <c r="S86" i="2"/>
  <c r="S78" i="2"/>
  <c r="S70" i="2"/>
  <c r="S62" i="2"/>
  <c r="S54" i="2"/>
  <c r="S46" i="2"/>
  <c r="S38" i="2"/>
  <c r="S30" i="2"/>
  <c r="S22" i="2"/>
  <c r="S14" i="2"/>
  <c r="S395" i="2"/>
  <c r="S387" i="2"/>
  <c r="S379" i="2"/>
  <c r="S371" i="2"/>
  <c r="S363" i="2"/>
  <c r="S355" i="2"/>
  <c r="S347" i="2"/>
  <c r="S339" i="2"/>
  <c r="S331" i="2"/>
  <c r="S323" i="2"/>
  <c r="S315" i="2"/>
  <c r="S307" i="2"/>
  <c r="S299" i="2"/>
  <c r="S291" i="2"/>
  <c r="S283" i="2"/>
  <c r="S275" i="2"/>
  <c r="S267" i="2"/>
  <c r="S259" i="2"/>
  <c r="S251" i="2"/>
  <c r="S243" i="2"/>
  <c r="S235" i="2"/>
  <c r="S227" i="2"/>
  <c r="S219" i="2"/>
  <c r="S211" i="2"/>
  <c r="S203" i="2"/>
  <c r="S195" i="2"/>
  <c r="S187" i="2"/>
  <c r="S179" i="2"/>
  <c r="S171" i="2"/>
  <c r="S163" i="2"/>
  <c r="S155" i="2"/>
  <c r="S147" i="2"/>
  <c r="S139" i="2"/>
  <c r="S131" i="2"/>
  <c r="S123" i="2"/>
  <c r="S115" i="2"/>
  <c r="S107" i="2"/>
  <c r="S99" i="2"/>
  <c r="S91" i="2"/>
  <c r="S83" i="2"/>
  <c r="S75" i="2"/>
  <c r="S67" i="2"/>
  <c r="S59" i="2"/>
  <c r="S51" i="2"/>
  <c r="S43" i="2"/>
  <c r="S35" i="2"/>
  <c r="S27" i="2"/>
  <c r="S19" i="2"/>
  <c r="S394" i="2"/>
  <c r="S338" i="2"/>
  <c r="S330" i="2"/>
  <c r="S290" i="2"/>
  <c r="S282" i="2"/>
  <c r="S274" i="2"/>
  <c r="S266" i="2"/>
  <c r="S258" i="2"/>
  <c r="S250" i="2"/>
  <c r="S242" i="2"/>
  <c r="S234" i="2"/>
  <c r="S226" i="2"/>
  <c r="S218" i="2"/>
  <c r="S210" i="2"/>
  <c r="S202" i="2"/>
  <c r="S194" i="2"/>
  <c r="S186" i="2"/>
  <c r="S178" i="2"/>
  <c r="S170" i="2"/>
  <c r="S162" i="2"/>
  <c r="S154" i="2"/>
  <c r="S146" i="2"/>
  <c r="S138" i="2"/>
  <c r="S130" i="2"/>
  <c r="S122" i="2"/>
  <c r="S114" i="2"/>
  <c r="S106" i="2"/>
  <c r="S98" i="2"/>
  <c r="S90" i="2"/>
  <c r="S82" i="2"/>
  <c r="S74" i="2"/>
  <c r="S66" i="2"/>
  <c r="S58" i="2"/>
  <c r="S50" i="2"/>
  <c r="S42" i="2"/>
  <c r="S34" i="2"/>
  <c r="S26" i="2"/>
  <c r="S18" i="2"/>
  <c r="S97" i="2"/>
  <c r="S89" i="2"/>
  <c r="S81" i="2"/>
  <c r="S73" i="2"/>
  <c r="S65" i="2"/>
  <c r="S57" i="2"/>
  <c r="S49" i="2"/>
  <c r="S41" i="2"/>
  <c r="S33" i="2"/>
  <c r="S25" i="2"/>
  <c r="S17" i="2"/>
  <c r="R6" i="2"/>
  <c r="S4" i="2"/>
  <c r="S9" i="2" l="1"/>
  <c r="W240" i="2"/>
  <c r="T11" i="2"/>
  <c r="W338" i="2"/>
  <c r="U11" i="2"/>
  <c r="T12" i="2"/>
  <c r="S11" i="2"/>
  <c r="U12" i="2"/>
  <c r="W217" i="2"/>
  <c r="W85" i="2"/>
  <c r="U3" i="2"/>
  <c r="W311" i="2"/>
  <c r="W375" i="2"/>
  <c r="W346" i="2"/>
  <c r="U7" i="2"/>
  <c r="W157" i="2"/>
  <c r="T7" i="2"/>
  <c r="W21" i="2"/>
  <c r="W388" i="2"/>
  <c r="W298" i="2"/>
  <c r="W46" i="2"/>
  <c r="W110" i="2"/>
  <c r="W238" i="2"/>
  <c r="W344" i="2"/>
  <c r="W325" i="2"/>
  <c r="W79" i="2"/>
  <c r="W286" i="2"/>
  <c r="W265" i="2"/>
  <c r="T10" i="2"/>
  <c r="W140" i="2"/>
  <c r="S10" i="2"/>
  <c r="U10" i="2"/>
  <c r="S3" i="2"/>
  <c r="W27" i="2"/>
  <c r="W155" i="2"/>
  <c r="W283" i="2"/>
  <c r="W270" i="2"/>
  <c r="W69" i="2"/>
  <c r="W302" i="2"/>
  <c r="W366" i="2"/>
  <c r="W231" i="2"/>
  <c r="W400" i="2"/>
  <c r="W49" i="2"/>
  <c r="W233" i="2"/>
  <c r="W349" i="2"/>
  <c r="T9" i="2"/>
  <c r="W371" i="2"/>
  <c r="S13" i="2"/>
  <c r="W387" i="2"/>
  <c r="W208" i="2"/>
  <c r="W213" i="2"/>
  <c r="W322" i="2"/>
  <c r="W52" i="2"/>
  <c r="W116" i="2"/>
  <c r="W276" i="2"/>
  <c r="W287" i="2"/>
  <c r="W151" i="2"/>
  <c r="W391" i="2"/>
  <c r="W63" i="2"/>
  <c r="W221" i="2"/>
  <c r="W364" i="2"/>
  <c r="W293" i="2"/>
  <c r="W381" i="2"/>
  <c r="W389" i="2"/>
  <c r="W373" i="2"/>
  <c r="W60" i="2"/>
  <c r="W100" i="2"/>
  <c r="W188" i="2"/>
  <c r="W260" i="2"/>
  <c r="W165" i="2"/>
  <c r="W127" i="2"/>
  <c r="W271" i="2"/>
  <c r="W303" i="2"/>
  <c r="T8" i="2"/>
  <c r="V8" i="2"/>
  <c r="U8" i="2"/>
  <c r="S7" i="2"/>
  <c r="T13" i="2"/>
  <c r="W237" i="2"/>
  <c r="W253" i="2"/>
  <c r="W314" i="2"/>
  <c r="W362" i="2"/>
  <c r="W359" i="2"/>
  <c r="W281" i="2"/>
  <c r="W324" i="2"/>
  <c r="W105" i="2"/>
  <c r="W33" i="2"/>
  <c r="W61" i="2"/>
  <c r="W86" i="2"/>
  <c r="W150" i="2"/>
  <c r="W214" i="2"/>
  <c r="W278" i="2"/>
  <c r="W22" i="2"/>
  <c r="W39" i="2"/>
  <c r="W296" i="2"/>
  <c r="W372" i="2"/>
  <c r="W84" i="2"/>
  <c r="W279" i="2"/>
  <c r="W360" i="2"/>
  <c r="W245" i="2"/>
  <c r="W109" i="2"/>
  <c r="W31" i="2"/>
  <c r="W34" i="2"/>
  <c r="W98" i="2"/>
  <c r="W162" i="2"/>
  <c r="W226" i="2"/>
  <c r="W35" i="2"/>
  <c r="W99" i="2"/>
  <c r="W163" i="2"/>
  <c r="W227" i="2"/>
  <c r="W87" i="2"/>
  <c r="W88" i="2"/>
  <c r="W153" i="2"/>
  <c r="W131" i="2"/>
  <c r="W285" i="2"/>
  <c r="W259" i="2"/>
  <c r="W396" i="2"/>
  <c r="W342" i="2"/>
  <c r="W308" i="2"/>
  <c r="W101" i="2"/>
  <c r="W20" i="2"/>
  <c r="W148" i="2"/>
  <c r="W15" i="2"/>
  <c r="W29" i="2"/>
  <c r="W306" i="2"/>
  <c r="W386" i="2"/>
  <c r="W36" i="2"/>
  <c r="W124" i="2"/>
  <c r="W164" i="2"/>
  <c r="W212" i="2"/>
  <c r="W97" i="2"/>
  <c r="W93" i="2"/>
  <c r="W370" i="2"/>
  <c r="W133" i="2"/>
  <c r="W28" i="2"/>
  <c r="W92" i="2"/>
  <c r="W156" i="2"/>
  <c r="W180" i="2"/>
  <c r="W47" i="2"/>
  <c r="W175" i="2"/>
  <c r="W263" i="2"/>
  <c r="W335" i="2"/>
  <c r="W367" i="2"/>
  <c r="W137" i="2"/>
  <c r="W201" i="2"/>
  <c r="W18" i="2"/>
  <c r="W68" i="2"/>
  <c r="W244" i="2"/>
  <c r="W158" i="2"/>
  <c r="W143" i="2"/>
  <c r="W95" i="2"/>
  <c r="W45" i="2"/>
  <c r="W323" i="2"/>
  <c r="W70" i="2"/>
  <c r="W198" i="2"/>
  <c r="W23" i="2"/>
  <c r="W167" i="2"/>
  <c r="W333" i="2"/>
  <c r="W274" i="2"/>
  <c r="W256" i="2"/>
  <c r="W222" i="2"/>
  <c r="W291" i="2"/>
  <c r="W75" i="2"/>
  <c r="W203" i="2"/>
  <c r="W334" i="2"/>
  <c r="W82" i="2"/>
  <c r="W196" i="2"/>
  <c r="W380" i="2"/>
  <c r="W94" i="2"/>
  <c r="W191" i="2"/>
  <c r="W43" i="2"/>
  <c r="W107" i="2"/>
  <c r="W171" i="2"/>
  <c r="W235" i="2"/>
  <c r="W103" i="2"/>
  <c r="W77" i="2"/>
  <c r="W146" i="2"/>
  <c r="W30" i="2"/>
  <c r="W119" i="2"/>
  <c r="W320" i="2"/>
  <c r="W128" i="2"/>
  <c r="W307" i="2"/>
  <c r="W210" i="2"/>
  <c r="W132" i="2"/>
  <c r="W126" i="2"/>
  <c r="W305" i="2"/>
  <c r="W369" i="2"/>
  <c r="W357" i="2"/>
  <c r="W316" i="2"/>
  <c r="W149" i="2"/>
  <c r="W173" i="2"/>
  <c r="W183" i="2"/>
  <c r="W319" i="2"/>
  <c r="W383" i="2"/>
  <c r="W53" i="2"/>
  <c r="W189" i="2"/>
  <c r="T6" i="2"/>
  <c r="U6" i="2"/>
  <c r="W19" i="2"/>
  <c r="W83" i="2"/>
  <c r="W147" i="2"/>
  <c r="W211" i="2"/>
  <c r="W275" i="2"/>
  <c r="W317" i="2"/>
  <c r="W56" i="2"/>
  <c r="W309" i="2"/>
  <c r="W90" i="2"/>
  <c r="W218" i="2"/>
  <c r="W215" i="2"/>
  <c r="W120" i="2"/>
  <c r="W290" i="2"/>
  <c r="W51" i="2"/>
  <c r="W115" i="2"/>
  <c r="W169" i="2"/>
  <c r="W41" i="2"/>
  <c r="W42" i="2"/>
  <c r="W106" i="2"/>
  <c r="W170" i="2"/>
  <c r="W234" i="2"/>
  <c r="V2" i="2"/>
  <c r="U2" i="2"/>
  <c r="T2" i="2"/>
  <c r="S5" i="2"/>
  <c r="T5" i="2"/>
  <c r="U5" i="2"/>
  <c r="W378" i="2"/>
  <c r="W329" i="2"/>
  <c r="W353" i="2"/>
  <c r="W327" i="2"/>
  <c r="W277" i="2"/>
  <c r="W255" i="2"/>
  <c r="W174" i="2"/>
  <c r="W355" i="2"/>
  <c r="W62" i="2"/>
  <c r="W190" i="2"/>
  <c r="W318" i="2"/>
  <c r="W382" i="2"/>
  <c r="W341" i="2"/>
  <c r="W74" i="2"/>
  <c r="W138" i="2"/>
  <c r="W159" i="2"/>
  <c r="W160" i="2"/>
  <c r="W145" i="2"/>
  <c r="W209" i="2"/>
  <c r="W273" i="2"/>
  <c r="W313" i="2"/>
  <c r="W377" i="2"/>
  <c r="W248" i="2"/>
  <c r="W224" i="2"/>
  <c r="W197" i="2"/>
  <c r="W50" i="2"/>
  <c r="W242" i="2"/>
  <c r="W161" i="2"/>
  <c r="W397" i="2"/>
  <c r="W185" i="2"/>
  <c r="W299" i="2"/>
  <c r="W337" i="2"/>
  <c r="W125" i="2"/>
  <c r="W229" i="2"/>
  <c r="W135" i="2"/>
  <c r="W179" i="2"/>
  <c r="W243" i="2"/>
  <c r="W14" i="2"/>
  <c r="W78" i="2"/>
  <c r="W142" i="2"/>
  <c r="W206" i="2"/>
  <c r="W398" i="2"/>
  <c r="W129" i="2"/>
  <c r="W193" i="2"/>
  <c r="W257" i="2"/>
  <c r="W297" i="2"/>
  <c r="W361" i="2"/>
  <c r="W328" i="2"/>
  <c r="W168" i="2"/>
  <c r="W207" i="2"/>
  <c r="W205" i="2"/>
  <c r="W223" i="2"/>
  <c r="W114" i="2"/>
  <c r="W225" i="2"/>
  <c r="W393" i="2"/>
  <c r="W122" i="2"/>
  <c r="W249" i="2"/>
  <c r="W247" i="2"/>
  <c r="W199" i="2"/>
  <c r="W123" i="2"/>
  <c r="W251" i="2"/>
  <c r="W315" i="2"/>
  <c r="W379" i="2"/>
  <c r="W365" i="2"/>
  <c r="W192" i="2"/>
  <c r="W321" i="2"/>
  <c r="W385" i="2"/>
  <c r="W300" i="2"/>
  <c r="W178" i="2"/>
  <c r="W289" i="2"/>
  <c r="W121" i="2"/>
  <c r="W71" i="2"/>
  <c r="W363" i="2"/>
  <c r="W108" i="2"/>
  <c r="W37" i="2"/>
  <c r="W141" i="2"/>
  <c r="W67" i="2"/>
  <c r="W195" i="2"/>
  <c r="W350" i="2"/>
  <c r="W310" i="2"/>
  <c r="W374" i="2"/>
  <c r="W32" i="2"/>
  <c r="W272" i="2"/>
  <c r="W113" i="2"/>
  <c r="W177" i="2"/>
  <c r="W241" i="2"/>
  <c r="W345" i="2"/>
  <c r="W332" i="2"/>
  <c r="W348" i="2"/>
  <c r="W232" i="2"/>
  <c r="W136" i="2"/>
  <c r="W269" i="2"/>
  <c r="W239" i="2"/>
  <c r="W351" i="2"/>
  <c r="W261" i="2"/>
  <c r="W339" i="2"/>
  <c r="W358" i="2"/>
  <c r="W16" i="2"/>
  <c r="W304" i="2"/>
  <c r="W104" i="2"/>
  <c r="W24" i="2"/>
  <c r="W264" i="2"/>
  <c r="W268" i="2"/>
  <c r="W55" i="2"/>
  <c r="W76" i="2"/>
  <c r="W181" i="2"/>
  <c r="W91" i="2"/>
  <c r="W219" i="2"/>
  <c r="W347" i="2"/>
  <c r="W57" i="2"/>
  <c r="W54" i="2"/>
  <c r="W118" i="2"/>
  <c r="W182" i="2"/>
  <c r="W246" i="2"/>
  <c r="W96" i="2"/>
  <c r="W172" i="2"/>
  <c r="W228" i="2"/>
  <c r="W252" i="2"/>
  <c r="W284" i="2"/>
  <c r="W340" i="2"/>
  <c r="W200" i="2"/>
  <c r="W112" i="2"/>
  <c r="W392" i="2"/>
  <c r="W343" i="2"/>
  <c r="W330" i="2"/>
  <c r="W134" i="2"/>
  <c r="W262" i="2"/>
  <c r="W326" i="2"/>
  <c r="W390" i="2"/>
  <c r="W40" i="2"/>
  <c r="W336" i="2"/>
  <c r="W236" i="2"/>
  <c r="W292" i="2"/>
  <c r="W144" i="2"/>
  <c r="W48" i="2"/>
  <c r="W312" i="2"/>
  <c r="W204" i="2"/>
  <c r="W65" i="2"/>
  <c r="W295" i="2"/>
  <c r="W44" i="2"/>
  <c r="W73" i="2"/>
  <c r="W117" i="2"/>
  <c r="W58" i="2"/>
  <c r="W186" i="2"/>
  <c r="W250" i="2"/>
  <c r="W394" i="2"/>
  <c r="W59" i="2"/>
  <c r="W187" i="2"/>
  <c r="W25" i="2"/>
  <c r="W89" i="2"/>
  <c r="W111" i="2"/>
  <c r="W376" i="2"/>
  <c r="W288" i="2"/>
  <c r="W356" i="2"/>
  <c r="W64" i="2"/>
  <c r="W384" i="2"/>
  <c r="W216" i="2"/>
  <c r="W254" i="2"/>
  <c r="W17" i="2"/>
  <c r="W81" i="2"/>
  <c r="W66" i="2"/>
  <c r="W130" i="2"/>
  <c r="W194" i="2"/>
  <c r="W258" i="2"/>
  <c r="W26" i="2"/>
  <c r="W154" i="2"/>
  <c r="W282" i="2"/>
  <c r="W72" i="2"/>
  <c r="W368" i="2"/>
  <c r="W184" i="2"/>
  <c r="W80" i="2"/>
  <c r="W352" i="2"/>
  <c r="W202" i="2"/>
  <c r="W266" i="2"/>
  <c r="W139" i="2"/>
  <c r="W267" i="2"/>
  <c r="W331" i="2"/>
  <c r="W395" i="2"/>
  <c r="W38" i="2"/>
  <c r="W102" i="2"/>
  <c r="W166" i="2"/>
  <c r="W230" i="2"/>
  <c r="W294" i="2"/>
  <c r="W301" i="2"/>
  <c r="W354" i="2"/>
  <c r="W399" i="2"/>
  <c r="W176" i="2"/>
  <c r="W220" i="2"/>
  <c r="W280" i="2"/>
  <c r="W152" i="2"/>
  <c r="W4" i="2"/>
  <c r="S6" i="2"/>
  <c r="S318" i="1"/>
  <c r="R334" i="1"/>
  <c r="Q382" i="1"/>
  <c r="Q397" i="1"/>
  <c r="S398" i="1"/>
  <c r="S399" i="1"/>
  <c r="T3" i="1"/>
  <c r="T7" i="1"/>
  <c r="T8" i="1"/>
  <c r="T10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100" i="1"/>
  <c r="T101" i="1"/>
  <c r="T102" i="1"/>
  <c r="T103" i="1"/>
  <c r="T104" i="1"/>
  <c r="T105" i="1"/>
  <c r="T106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20" i="1"/>
  <c r="T121" i="1"/>
  <c r="T122" i="1"/>
  <c r="T123" i="1"/>
  <c r="T124" i="1"/>
  <c r="T125" i="1"/>
  <c r="T126" i="1"/>
  <c r="T127" i="1"/>
  <c r="T128" i="1"/>
  <c r="T129" i="1"/>
  <c r="T130" i="1"/>
  <c r="T131" i="1"/>
  <c r="T132" i="1"/>
  <c r="T133" i="1"/>
  <c r="T134" i="1"/>
  <c r="T135" i="1"/>
  <c r="T136" i="1"/>
  <c r="T137" i="1"/>
  <c r="T138" i="1"/>
  <c r="T139" i="1"/>
  <c r="T140" i="1"/>
  <c r="T141" i="1"/>
  <c r="T142" i="1"/>
  <c r="T143" i="1"/>
  <c r="T144" i="1"/>
  <c r="T145" i="1"/>
  <c r="T146" i="1"/>
  <c r="T147" i="1"/>
  <c r="T148" i="1"/>
  <c r="T149" i="1"/>
  <c r="T150" i="1"/>
  <c r="T151" i="1"/>
  <c r="T152" i="1"/>
  <c r="T153" i="1"/>
  <c r="T154" i="1"/>
  <c r="T155" i="1"/>
  <c r="T156" i="1"/>
  <c r="T157" i="1"/>
  <c r="T158" i="1"/>
  <c r="T159" i="1"/>
  <c r="T160" i="1"/>
  <c r="T161" i="1"/>
  <c r="T162" i="1"/>
  <c r="T163" i="1"/>
  <c r="T164" i="1"/>
  <c r="T165" i="1"/>
  <c r="T166" i="1"/>
  <c r="T167" i="1"/>
  <c r="T168" i="1"/>
  <c r="T169" i="1"/>
  <c r="T170" i="1"/>
  <c r="T171" i="1"/>
  <c r="T172" i="1"/>
  <c r="T173" i="1"/>
  <c r="T174" i="1"/>
  <c r="T175" i="1"/>
  <c r="T176" i="1"/>
  <c r="T177" i="1"/>
  <c r="T178" i="1"/>
  <c r="T179" i="1"/>
  <c r="T180" i="1"/>
  <c r="T181" i="1"/>
  <c r="T182" i="1"/>
  <c r="T183" i="1"/>
  <c r="T184" i="1"/>
  <c r="T185" i="1"/>
  <c r="T186" i="1"/>
  <c r="T187" i="1"/>
  <c r="T188" i="1"/>
  <c r="T189" i="1"/>
  <c r="T190" i="1"/>
  <c r="T191" i="1"/>
  <c r="T192" i="1"/>
  <c r="T193" i="1"/>
  <c r="T194" i="1"/>
  <c r="T195" i="1"/>
  <c r="T196" i="1"/>
  <c r="T197" i="1"/>
  <c r="T198" i="1"/>
  <c r="T199" i="1"/>
  <c r="T200" i="1"/>
  <c r="T201" i="1"/>
  <c r="T202" i="1"/>
  <c r="T203" i="1"/>
  <c r="T204" i="1"/>
  <c r="T205" i="1"/>
  <c r="T206" i="1"/>
  <c r="T207" i="1"/>
  <c r="T208" i="1"/>
  <c r="T209" i="1"/>
  <c r="T210" i="1"/>
  <c r="T211" i="1"/>
  <c r="T212" i="1"/>
  <c r="T213" i="1"/>
  <c r="T214" i="1"/>
  <c r="T215" i="1"/>
  <c r="T216" i="1"/>
  <c r="T217" i="1"/>
  <c r="T218" i="1"/>
  <c r="T219" i="1"/>
  <c r="T220" i="1"/>
  <c r="T221" i="1"/>
  <c r="T222" i="1"/>
  <c r="T223" i="1"/>
  <c r="T224" i="1"/>
  <c r="T225" i="1"/>
  <c r="T226" i="1"/>
  <c r="T227" i="1"/>
  <c r="T228" i="1"/>
  <c r="T229" i="1"/>
  <c r="T230" i="1"/>
  <c r="T231" i="1"/>
  <c r="T232" i="1"/>
  <c r="T233" i="1"/>
  <c r="T234" i="1"/>
  <c r="T235" i="1"/>
  <c r="T236" i="1"/>
  <c r="T237" i="1"/>
  <c r="T238" i="1"/>
  <c r="T239" i="1"/>
  <c r="T240" i="1"/>
  <c r="T241" i="1"/>
  <c r="T242" i="1"/>
  <c r="T243" i="1"/>
  <c r="T244" i="1"/>
  <c r="T245" i="1"/>
  <c r="T246" i="1"/>
  <c r="T247" i="1"/>
  <c r="T248" i="1"/>
  <c r="T249" i="1"/>
  <c r="T250" i="1"/>
  <c r="T251" i="1"/>
  <c r="T252" i="1"/>
  <c r="T253" i="1"/>
  <c r="T254" i="1"/>
  <c r="T255" i="1"/>
  <c r="T256" i="1"/>
  <c r="T257" i="1"/>
  <c r="T258" i="1"/>
  <c r="T259" i="1"/>
  <c r="T260" i="1"/>
  <c r="T261" i="1"/>
  <c r="T262" i="1"/>
  <c r="T263" i="1"/>
  <c r="T264" i="1"/>
  <c r="T265" i="1"/>
  <c r="T266" i="1"/>
  <c r="T267" i="1"/>
  <c r="T268" i="1"/>
  <c r="T269" i="1"/>
  <c r="T270" i="1"/>
  <c r="T271" i="1"/>
  <c r="T272" i="1"/>
  <c r="T273" i="1"/>
  <c r="T274" i="1"/>
  <c r="T275" i="1"/>
  <c r="T276" i="1"/>
  <c r="T277" i="1"/>
  <c r="T278" i="1"/>
  <c r="T279" i="1"/>
  <c r="T280" i="1"/>
  <c r="T281" i="1"/>
  <c r="T282" i="1"/>
  <c r="T283" i="1"/>
  <c r="T284" i="1"/>
  <c r="T285" i="1"/>
  <c r="T286" i="1"/>
  <c r="T287" i="1"/>
  <c r="T288" i="1"/>
  <c r="T289" i="1"/>
  <c r="T290" i="1"/>
  <c r="T291" i="1"/>
  <c r="T292" i="1"/>
  <c r="T293" i="1"/>
  <c r="T294" i="1"/>
  <c r="T295" i="1"/>
  <c r="T296" i="1"/>
  <c r="T297" i="1"/>
  <c r="T298" i="1"/>
  <c r="T299" i="1"/>
  <c r="T300" i="1"/>
  <c r="T301" i="1"/>
  <c r="T302" i="1"/>
  <c r="T303" i="1"/>
  <c r="T304" i="1"/>
  <c r="T305" i="1"/>
  <c r="T306" i="1"/>
  <c r="T307" i="1"/>
  <c r="T308" i="1"/>
  <c r="T309" i="1"/>
  <c r="T310" i="1"/>
  <c r="T311" i="1"/>
  <c r="T312" i="1"/>
  <c r="T313" i="1"/>
  <c r="T314" i="1"/>
  <c r="T315" i="1"/>
  <c r="T316" i="1"/>
  <c r="T317" i="1"/>
  <c r="T318" i="1"/>
  <c r="T319" i="1"/>
  <c r="T320" i="1"/>
  <c r="T321" i="1"/>
  <c r="T322" i="1"/>
  <c r="T323" i="1"/>
  <c r="T324" i="1"/>
  <c r="T325" i="1"/>
  <c r="T326" i="1"/>
  <c r="T327" i="1"/>
  <c r="T328" i="1"/>
  <c r="T329" i="1"/>
  <c r="T330" i="1"/>
  <c r="T331" i="1"/>
  <c r="T332" i="1"/>
  <c r="T333" i="1"/>
  <c r="T334" i="1"/>
  <c r="T335" i="1"/>
  <c r="T336" i="1"/>
  <c r="T337" i="1"/>
  <c r="T338" i="1"/>
  <c r="T339" i="1"/>
  <c r="T340" i="1"/>
  <c r="T341" i="1"/>
  <c r="T342" i="1"/>
  <c r="T343" i="1"/>
  <c r="T344" i="1"/>
  <c r="T345" i="1"/>
  <c r="T346" i="1"/>
  <c r="T347" i="1"/>
  <c r="T348" i="1"/>
  <c r="T349" i="1"/>
  <c r="T350" i="1"/>
  <c r="T351" i="1"/>
  <c r="T352" i="1"/>
  <c r="T353" i="1"/>
  <c r="T354" i="1"/>
  <c r="T355" i="1"/>
  <c r="T356" i="1"/>
  <c r="T357" i="1"/>
  <c r="T358" i="1"/>
  <c r="T359" i="1"/>
  <c r="T360" i="1"/>
  <c r="T361" i="1"/>
  <c r="T362" i="1"/>
  <c r="T363" i="1"/>
  <c r="T364" i="1"/>
  <c r="T365" i="1"/>
  <c r="T366" i="1"/>
  <c r="T367" i="1"/>
  <c r="T368" i="1"/>
  <c r="T369" i="1"/>
  <c r="T370" i="1"/>
  <c r="T371" i="1"/>
  <c r="T372" i="1"/>
  <c r="T373" i="1"/>
  <c r="T374" i="1"/>
  <c r="T375" i="1"/>
  <c r="T376" i="1"/>
  <c r="T377" i="1"/>
  <c r="T378" i="1"/>
  <c r="T379" i="1"/>
  <c r="T380" i="1"/>
  <c r="T381" i="1"/>
  <c r="T382" i="1"/>
  <c r="T383" i="1"/>
  <c r="T384" i="1"/>
  <c r="T385" i="1"/>
  <c r="T386" i="1"/>
  <c r="T387" i="1"/>
  <c r="T388" i="1"/>
  <c r="T389" i="1"/>
  <c r="T390" i="1"/>
  <c r="T391" i="1"/>
  <c r="T392" i="1"/>
  <c r="T393" i="1"/>
  <c r="T394" i="1"/>
  <c r="T395" i="1"/>
  <c r="T396" i="1"/>
  <c r="T397" i="1"/>
  <c r="T398" i="1"/>
  <c r="T399" i="1"/>
  <c r="T400" i="1"/>
  <c r="R290" i="1"/>
  <c r="S291" i="1"/>
  <c r="S292" i="1"/>
  <c r="Q293" i="1"/>
  <c r="S294" i="1"/>
  <c r="Q295" i="1"/>
  <c r="S296" i="1"/>
  <c r="Q298" i="1"/>
  <c r="S299" i="1"/>
  <c r="R300" i="1"/>
  <c r="R301" i="1"/>
  <c r="S302" i="1"/>
  <c r="S303" i="1"/>
  <c r="S306" i="1"/>
  <c r="S307" i="1"/>
  <c r="S308" i="1"/>
  <c r="R309" i="1"/>
  <c r="S310" i="1"/>
  <c r="R311" i="1"/>
  <c r="R314" i="1"/>
  <c r="Q315" i="1"/>
  <c r="R316" i="1"/>
  <c r="Q317" i="1"/>
  <c r="Q319" i="1"/>
  <c r="R320" i="1"/>
  <c r="R322" i="1"/>
  <c r="S323" i="1"/>
  <c r="Q324" i="1"/>
  <c r="R325" i="1"/>
  <c r="R326" i="1"/>
  <c r="Q327" i="1"/>
  <c r="R328" i="1"/>
  <c r="Q330" i="1"/>
  <c r="R331" i="1"/>
  <c r="R332" i="1"/>
  <c r="S333" i="1"/>
  <c r="S335" i="1"/>
  <c r="S338" i="1"/>
  <c r="S339" i="1"/>
  <c r="R340" i="1"/>
  <c r="R341" i="1"/>
  <c r="S342" i="1"/>
  <c r="R343" i="1"/>
  <c r="R346" i="1"/>
  <c r="R347" i="1"/>
  <c r="R348" i="1"/>
  <c r="Q349" i="1"/>
  <c r="S350" i="1"/>
  <c r="Q351" i="1"/>
  <c r="R352" i="1"/>
  <c r="R354" i="1"/>
  <c r="S355" i="1"/>
  <c r="Q356" i="1"/>
  <c r="S357" i="1"/>
  <c r="S358" i="1"/>
  <c r="Q359" i="1"/>
  <c r="R360" i="1"/>
  <c r="Q362" i="1"/>
  <c r="R363" i="1"/>
  <c r="R364" i="1"/>
  <c r="R365" i="1"/>
  <c r="R366" i="1"/>
  <c r="S367" i="1"/>
  <c r="S370" i="1"/>
  <c r="Q371" i="1"/>
  <c r="R372" i="1"/>
  <c r="Q373" i="1"/>
  <c r="R374" i="1"/>
  <c r="R375" i="1"/>
  <c r="R378" i="1"/>
  <c r="R379" i="1"/>
  <c r="R380" i="1"/>
  <c r="R381" i="1"/>
  <c r="Q383" i="1"/>
  <c r="R384" i="1"/>
  <c r="R386" i="1"/>
  <c r="R387" i="1"/>
  <c r="R388" i="1"/>
  <c r="S389" i="1"/>
  <c r="S390" i="1"/>
  <c r="Q391" i="1"/>
  <c r="R392" i="1"/>
  <c r="Q394" i="1"/>
  <c r="R395" i="1"/>
  <c r="R396" i="1"/>
  <c r="AG334" i="7"/>
  <c r="AH334" i="7"/>
  <c r="AI334" i="7"/>
  <c r="AF334" i="7"/>
  <c r="W11" i="2" l="1"/>
  <c r="W12" i="2"/>
  <c r="W3" i="2"/>
  <c r="W9" i="2"/>
  <c r="W10" i="2"/>
  <c r="W7" i="2"/>
  <c r="W13" i="2"/>
  <c r="W8" i="2"/>
  <c r="Q339" i="1"/>
  <c r="R358" i="1"/>
  <c r="S366" i="1"/>
  <c r="R310" i="1"/>
  <c r="Q310" i="1"/>
  <c r="Q366" i="1"/>
  <c r="Q350" i="1"/>
  <c r="R373" i="1"/>
  <c r="Q318" i="1"/>
  <c r="R350" i="1"/>
  <c r="R294" i="1"/>
  <c r="Q398" i="1"/>
  <c r="R371" i="1"/>
  <c r="Q299" i="1"/>
  <c r="Q379" i="1"/>
  <c r="R398" i="1"/>
  <c r="S343" i="1"/>
  <c r="W2" i="2"/>
  <c r="Q311" i="1"/>
  <c r="Q381" i="1"/>
  <c r="R351" i="1"/>
  <c r="Q301" i="1"/>
  <c r="R319" i="1"/>
  <c r="S349" i="1"/>
  <c r="Q341" i="1"/>
  <c r="R391" i="1"/>
  <c r="S325" i="1"/>
  <c r="S293" i="1"/>
  <c r="Q334" i="1"/>
  <c r="Q294" i="1"/>
  <c r="S382" i="1"/>
  <c r="S334" i="1"/>
  <c r="Q374" i="1"/>
  <c r="Q326" i="1"/>
  <c r="R318" i="1"/>
  <c r="S374" i="1"/>
  <c r="S326" i="1"/>
  <c r="Q358" i="1"/>
  <c r="R302" i="1"/>
  <c r="W5" i="2"/>
  <c r="Q390" i="1"/>
  <c r="Q342" i="1"/>
  <c r="Q302" i="1"/>
  <c r="R382" i="1"/>
  <c r="R342" i="1"/>
  <c r="R390" i="1"/>
  <c r="R299" i="1"/>
  <c r="S397" i="1"/>
  <c r="S364" i="1"/>
  <c r="S341" i="1"/>
  <c r="W6" i="2"/>
  <c r="S395" i="1"/>
  <c r="S363" i="1"/>
  <c r="R355" i="1"/>
  <c r="R315" i="1"/>
  <c r="S347" i="1"/>
  <c r="R389" i="1"/>
  <c r="S373" i="1"/>
  <c r="S309" i="1"/>
  <c r="S379" i="1"/>
  <c r="Q395" i="1"/>
  <c r="Q355" i="1"/>
  <c r="Q365" i="1"/>
  <c r="R397" i="1"/>
  <c r="R349" i="1"/>
  <c r="Q389" i="1"/>
  <c r="Q309" i="1"/>
  <c r="R317" i="1"/>
  <c r="R293" i="1"/>
  <c r="S365" i="1"/>
  <c r="S317" i="1"/>
  <c r="Q357" i="1"/>
  <c r="Q333" i="1"/>
  <c r="Q325" i="1"/>
  <c r="R357" i="1"/>
  <c r="R333" i="1"/>
  <c r="S381" i="1"/>
  <c r="S301" i="1"/>
  <c r="Q367" i="1"/>
  <c r="Q343" i="1"/>
  <c r="Q399" i="1"/>
  <c r="R356" i="1"/>
  <c r="Q380" i="1"/>
  <c r="Q340" i="1"/>
  <c r="R327" i="1"/>
  <c r="S380" i="1"/>
  <c r="Q396" i="1"/>
  <c r="Q375" i="1"/>
  <c r="Q335" i="1"/>
  <c r="S396" i="1"/>
  <c r="Q303" i="1"/>
  <c r="R383" i="1"/>
  <c r="R359" i="1"/>
  <c r="R295" i="1"/>
  <c r="S348" i="1"/>
  <c r="S332" i="1"/>
  <c r="S300" i="1"/>
  <c r="R324" i="1"/>
  <c r="Q364" i="1"/>
  <c r="Q348" i="1"/>
  <c r="Q307" i="1"/>
  <c r="Q292" i="1"/>
  <c r="R323" i="1"/>
  <c r="R308" i="1"/>
  <c r="Q323" i="1"/>
  <c r="R339" i="1"/>
  <c r="S315" i="1"/>
  <c r="Q388" i="1"/>
  <c r="Q363" i="1"/>
  <c r="Q347" i="1"/>
  <c r="Q291" i="1"/>
  <c r="R307" i="1"/>
  <c r="R292" i="1"/>
  <c r="S388" i="1"/>
  <c r="S372" i="1"/>
  <c r="S356" i="1"/>
  <c r="Q308" i="1"/>
  <c r="S331" i="1"/>
  <c r="Q387" i="1"/>
  <c r="Q372" i="1"/>
  <c r="Q332" i="1"/>
  <c r="Q316" i="1"/>
  <c r="R291" i="1"/>
  <c r="S387" i="1"/>
  <c r="S371" i="1"/>
  <c r="S340" i="1"/>
  <c r="S324" i="1"/>
  <c r="Q331" i="1"/>
  <c r="S316" i="1"/>
  <c r="Q370" i="1"/>
  <c r="Q300" i="1"/>
  <c r="Q306" i="1"/>
  <c r="S378" i="1"/>
  <c r="S375" i="1"/>
  <c r="S319" i="1"/>
  <c r="S383" i="1"/>
  <c r="S346" i="1"/>
  <c r="Q338" i="1"/>
  <c r="S351" i="1"/>
  <c r="S314" i="1"/>
  <c r="S311" i="1"/>
  <c r="R394" i="1"/>
  <c r="R362" i="1"/>
  <c r="R330" i="1"/>
  <c r="R298" i="1"/>
  <c r="Q378" i="1"/>
  <c r="Q346" i="1"/>
  <c r="Q314" i="1"/>
  <c r="S386" i="1"/>
  <c r="S354" i="1"/>
  <c r="S322" i="1"/>
  <c r="S290" i="1"/>
  <c r="R370" i="1"/>
  <c r="R306" i="1"/>
  <c r="Q386" i="1"/>
  <c r="Q354" i="1"/>
  <c r="Q322" i="1"/>
  <c r="Q290" i="1"/>
  <c r="R399" i="1"/>
  <c r="R367" i="1"/>
  <c r="R335" i="1"/>
  <c r="R303" i="1"/>
  <c r="S394" i="1"/>
  <c r="S362" i="1"/>
  <c r="S330" i="1"/>
  <c r="S298" i="1"/>
  <c r="S391" i="1"/>
  <c r="S359" i="1"/>
  <c r="S327" i="1"/>
  <c r="S295" i="1"/>
  <c r="R338" i="1"/>
  <c r="R369" i="1"/>
  <c r="S369" i="1"/>
  <c r="Q369" i="1"/>
  <c r="S297" i="1"/>
  <c r="R297" i="1"/>
  <c r="Q297" i="1"/>
  <c r="R321" i="1"/>
  <c r="S321" i="1"/>
  <c r="Q321" i="1"/>
  <c r="R377" i="1"/>
  <c r="S377" i="1"/>
  <c r="Q377" i="1"/>
  <c r="R345" i="1"/>
  <c r="S345" i="1"/>
  <c r="Q345" i="1"/>
  <c r="R337" i="1"/>
  <c r="S337" i="1"/>
  <c r="Q337" i="1"/>
  <c r="R305" i="1"/>
  <c r="S305" i="1"/>
  <c r="Q305" i="1"/>
  <c r="R385" i="1"/>
  <c r="S385" i="1"/>
  <c r="Q385" i="1"/>
  <c r="R353" i="1"/>
  <c r="S353" i="1"/>
  <c r="Q353" i="1"/>
  <c r="R313" i="1"/>
  <c r="S313" i="1"/>
  <c r="Q313" i="1"/>
  <c r="R393" i="1"/>
  <c r="S393" i="1"/>
  <c r="Q393" i="1"/>
  <c r="R361" i="1"/>
  <c r="S361" i="1"/>
  <c r="Q361" i="1"/>
  <c r="R329" i="1"/>
  <c r="S329" i="1"/>
  <c r="Q329" i="1"/>
  <c r="Q400" i="1"/>
  <c r="Q392" i="1"/>
  <c r="Q384" i="1"/>
  <c r="Q376" i="1"/>
  <c r="Q368" i="1"/>
  <c r="Q360" i="1"/>
  <c r="Q352" i="1"/>
  <c r="Q344" i="1"/>
  <c r="Q336" i="1"/>
  <c r="Q328" i="1"/>
  <c r="Q320" i="1"/>
  <c r="Q312" i="1"/>
  <c r="Q304" i="1"/>
  <c r="Q296" i="1"/>
  <c r="S400" i="1"/>
  <c r="S392" i="1"/>
  <c r="S384" i="1"/>
  <c r="S376" i="1"/>
  <c r="S368" i="1"/>
  <c r="S360" i="1"/>
  <c r="S352" i="1"/>
  <c r="S344" i="1"/>
  <c r="S336" i="1"/>
  <c r="S328" i="1"/>
  <c r="S320" i="1"/>
  <c r="S312" i="1"/>
  <c r="S304" i="1"/>
  <c r="R400" i="1"/>
  <c r="R376" i="1"/>
  <c r="R368" i="1"/>
  <c r="R344" i="1"/>
  <c r="R336" i="1"/>
  <c r="R312" i="1"/>
  <c r="R304" i="1"/>
  <c r="R296" i="1"/>
  <c r="N8" i="6"/>
  <c r="N7" i="6"/>
  <c r="J2" i="1"/>
  <c r="L2" i="1" s="1"/>
  <c r="J3" i="1"/>
  <c r="L3" i="1" s="1"/>
  <c r="J4" i="1"/>
  <c r="L4" i="1" s="1"/>
  <c r="J5" i="1"/>
  <c r="L5" i="1" s="1"/>
  <c r="J6" i="1"/>
  <c r="L6" i="1" s="1"/>
  <c r="J7" i="1"/>
  <c r="L7" i="1" s="1"/>
  <c r="J8" i="1"/>
  <c r="L8" i="1" s="1"/>
  <c r="J9" i="1"/>
  <c r="L9" i="1" s="1"/>
  <c r="J10" i="1"/>
  <c r="L10" i="1" s="1"/>
  <c r="J11" i="1"/>
  <c r="L11" i="1" s="1"/>
  <c r="J12" i="1"/>
  <c r="L12" i="1" s="1"/>
  <c r="J13" i="1"/>
  <c r="L13" i="1" s="1"/>
  <c r="J14" i="1"/>
  <c r="L14" i="1" s="1"/>
  <c r="J15" i="1"/>
  <c r="J16" i="1"/>
  <c r="J17" i="1"/>
  <c r="J18" i="1"/>
  <c r="L18" i="1" s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L290" i="1" s="1"/>
  <c r="J291" i="1"/>
  <c r="L291" i="1" s="1"/>
  <c r="J292" i="1"/>
  <c r="L292" i="1" s="1"/>
  <c r="J293" i="1"/>
  <c r="L293" i="1" s="1"/>
  <c r="J294" i="1"/>
  <c r="L294" i="1" s="1"/>
  <c r="J295" i="1"/>
  <c r="L295" i="1" s="1"/>
  <c r="J296" i="1"/>
  <c r="L296" i="1" s="1"/>
  <c r="J297" i="1"/>
  <c r="L297" i="1" s="1"/>
  <c r="J298" i="1"/>
  <c r="L298" i="1" s="1"/>
  <c r="J299" i="1"/>
  <c r="L299" i="1" s="1"/>
  <c r="J300" i="1"/>
  <c r="L300" i="1" s="1"/>
  <c r="J301" i="1"/>
  <c r="L301" i="1" s="1"/>
  <c r="J302" i="1"/>
  <c r="L302" i="1" s="1"/>
  <c r="J303" i="1"/>
  <c r="L303" i="1" s="1"/>
  <c r="J304" i="1"/>
  <c r="L304" i="1" s="1"/>
  <c r="J305" i="1"/>
  <c r="L305" i="1" s="1"/>
  <c r="J306" i="1"/>
  <c r="L306" i="1" s="1"/>
  <c r="J307" i="1"/>
  <c r="L307" i="1" s="1"/>
  <c r="J308" i="1"/>
  <c r="L308" i="1" s="1"/>
  <c r="J309" i="1"/>
  <c r="L309" i="1" s="1"/>
  <c r="J310" i="1"/>
  <c r="L310" i="1" s="1"/>
  <c r="J311" i="1"/>
  <c r="L311" i="1" s="1"/>
  <c r="J312" i="1"/>
  <c r="L312" i="1" s="1"/>
  <c r="J313" i="1"/>
  <c r="L313" i="1" s="1"/>
  <c r="J314" i="1"/>
  <c r="L314" i="1" s="1"/>
  <c r="J315" i="1"/>
  <c r="L315" i="1" s="1"/>
  <c r="J316" i="1"/>
  <c r="L316" i="1" s="1"/>
  <c r="J317" i="1"/>
  <c r="L317" i="1" s="1"/>
  <c r="J318" i="1"/>
  <c r="L318" i="1" s="1"/>
  <c r="J319" i="1"/>
  <c r="L319" i="1" s="1"/>
  <c r="J320" i="1"/>
  <c r="L320" i="1" s="1"/>
  <c r="J321" i="1"/>
  <c r="L321" i="1" s="1"/>
  <c r="J322" i="1"/>
  <c r="L322" i="1" s="1"/>
  <c r="J323" i="1"/>
  <c r="L323" i="1" s="1"/>
  <c r="J324" i="1"/>
  <c r="L324" i="1" s="1"/>
  <c r="J325" i="1"/>
  <c r="L325" i="1" s="1"/>
  <c r="J326" i="1"/>
  <c r="L326" i="1" s="1"/>
  <c r="J327" i="1"/>
  <c r="L327" i="1" s="1"/>
  <c r="J328" i="1"/>
  <c r="L328" i="1" s="1"/>
  <c r="J329" i="1"/>
  <c r="L329" i="1" s="1"/>
  <c r="J330" i="1"/>
  <c r="L330" i="1" s="1"/>
  <c r="J331" i="1"/>
  <c r="L331" i="1" s="1"/>
  <c r="J332" i="1"/>
  <c r="L332" i="1" s="1"/>
  <c r="J333" i="1"/>
  <c r="L333" i="1" s="1"/>
  <c r="J334" i="1"/>
  <c r="L334" i="1" s="1"/>
  <c r="J335" i="1"/>
  <c r="L335" i="1" s="1"/>
  <c r="J336" i="1"/>
  <c r="L336" i="1" s="1"/>
  <c r="J337" i="1"/>
  <c r="L337" i="1" s="1"/>
  <c r="J338" i="1"/>
  <c r="L338" i="1" s="1"/>
  <c r="J339" i="1"/>
  <c r="L339" i="1" s="1"/>
  <c r="J340" i="1"/>
  <c r="L340" i="1" s="1"/>
  <c r="J341" i="1"/>
  <c r="L341" i="1" s="1"/>
  <c r="J342" i="1"/>
  <c r="L342" i="1" s="1"/>
  <c r="J343" i="1"/>
  <c r="L343" i="1" s="1"/>
  <c r="J344" i="1"/>
  <c r="L344" i="1" s="1"/>
  <c r="J345" i="1"/>
  <c r="L345" i="1" s="1"/>
  <c r="J346" i="1"/>
  <c r="L346" i="1" s="1"/>
  <c r="J347" i="1"/>
  <c r="L347" i="1" s="1"/>
  <c r="J348" i="1"/>
  <c r="L348" i="1" s="1"/>
  <c r="J349" i="1"/>
  <c r="L349" i="1" s="1"/>
  <c r="J350" i="1"/>
  <c r="L350" i="1" s="1"/>
  <c r="J351" i="1"/>
  <c r="L351" i="1" s="1"/>
  <c r="J352" i="1"/>
  <c r="L352" i="1" s="1"/>
  <c r="J353" i="1"/>
  <c r="L353" i="1" s="1"/>
  <c r="J354" i="1"/>
  <c r="L354" i="1" s="1"/>
  <c r="J355" i="1"/>
  <c r="L355" i="1" s="1"/>
  <c r="J356" i="1"/>
  <c r="L356" i="1" s="1"/>
  <c r="J357" i="1"/>
  <c r="L357" i="1" s="1"/>
  <c r="J358" i="1"/>
  <c r="L358" i="1" s="1"/>
  <c r="J359" i="1"/>
  <c r="L359" i="1" s="1"/>
  <c r="J360" i="1"/>
  <c r="L360" i="1" s="1"/>
  <c r="J361" i="1"/>
  <c r="L361" i="1" s="1"/>
  <c r="J362" i="1"/>
  <c r="L362" i="1" s="1"/>
  <c r="J363" i="1"/>
  <c r="L363" i="1" s="1"/>
  <c r="J364" i="1"/>
  <c r="L364" i="1" s="1"/>
  <c r="J365" i="1"/>
  <c r="L365" i="1" s="1"/>
  <c r="J366" i="1"/>
  <c r="L366" i="1" s="1"/>
  <c r="J367" i="1"/>
  <c r="L367" i="1" s="1"/>
  <c r="J368" i="1"/>
  <c r="L368" i="1" s="1"/>
  <c r="J369" i="1"/>
  <c r="L369" i="1" s="1"/>
  <c r="J370" i="1"/>
  <c r="L370" i="1" s="1"/>
  <c r="J371" i="1"/>
  <c r="L371" i="1" s="1"/>
  <c r="J372" i="1"/>
  <c r="L372" i="1" s="1"/>
  <c r="J373" i="1"/>
  <c r="L373" i="1" s="1"/>
  <c r="J374" i="1"/>
  <c r="L374" i="1" s="1"/>
  <c r="J375" i="1"/>
  <c r="L375" i="1" s="1"/>
  <c r="J376" i="1"/>
  <c r="L376" i="1" s="1"/>
  <c r="J377" i="1"/>
  <c r="L377" i="1" s="1"/>
  <c r="J378" i="1"/>
  <c r="L378" i="1" s="1"/>
  <c r="J379" i="1"/>
  <c r="L379" i="1" s="1"/>
  <c r="J380" i="1"/>
  <c r="L380" i="1" s="1"/>
  <c r="J381" i="1"/>
  <c r="L381" i="1" s="1"/>
  <c r="J382" i="1"/>
  <c r="L382" i="1" s="1"/>
  <c r="J383" i="1"/>
  <c r="L383" i="1" s="1"/>
  <c r="J384" i="1"/>
  <c r="L384" i="1" s="1"/>
  <c r="J385" i="1"/>
  <c r="L385" i="1" s="1"/>
  <c r="J386" i="1"/>
  <c r="L386" i="1" s="1"/>
  <c r="J387" i="1"/>
  <c r="L387" i="1" s="1"/>
  <c r="J388" i="1"/>
  <c r="L388" i="1" s="1"/>
  <c r="J389" i="1"/>
  <c r="L389" i="1" s="1"/>
  <c r="J390" i="1"/>
  <c r="L390" i="1" s="1"/>
  <c r="J391" i="1"/>
  <c r="L391" i="1" s="1"/>
  <c r="J392" i="1"/>
  <c r="L392" i="1" s="1"/>
  <c r="J393" i="1"/>
  <c r="L393" i="1" s="1"/>
  <c r="J394" i="1"/>
  <c r="L394" i="1" s="1"/>
  <c r="J395" i="1"/>
  <c r="L395" i="1" s="1"/>
  <c r="J396" i="1"/>
  <c r="L396" i="1" s="1"/>
  <c r="J397" i="1"/>
  <c r="L397" i="1" s="1"/>
  <c r="J398" i="1"/>
  <c r="L398" i="1" s="1"/>
  <c r="J399" i="1"/>
  <c r="L399" i="1" s="1"/>
  <c r="J400" i="1"/>
  <c r="L400" i="1" s="1"/>
  <c r="F401" i="1"/>
  <c r="B9" i="10"/>
  <c r="U397" i="1" l="1"/>
  <c r="O275" i="1"/>
  <c r="P275" i="1" s="1"/>
  <c r="R275" i="1" s="1"/>
  <c r="L275" i="1"/>
  <c r="O259" i="1"/>
  <c r="P259" i="1" s="1"/>
  <c r="R259" i="1" s="1"/>
  <c r="L259" i="1"/>
  <c r="O243" i="1"/>
  <c r="P243" i="1" s="1"/>
  <c r="Q243" i="1" s="1"/>
  <c r="L243" i="1"/>
  <c r="O227" i="1"/>
  <c r="P227" i="1" s="1"/>
  <c r="S227" i="1" s="1"/>
  <c r="L227" i="1"/>
  <c r="O211" i="1"/>
  <c r="P211" i="1" s="1"/>
  <c r="R211" i="1" s="1"/>
  <c r="L211" i="1"/>
  <c r="O187" i="1"/>
  <c r="P187" i="1" s="1"/>
  <c r="Q187" i="1" s="1"/>
  <c r="L187" i="1"/>
  <c r="O171" i="1"/>
  <c r="P171" i="1" s="1"/>
  <c r="S171" i="1" s="1"/>
  <c r="L171" i="1"/>
  <c r="O155" i="1"/>
  <c r="P155" i="1" s="1"/>
  <c r="R155" i="1" s="1"/>
  <c r="L155" i="1"/>
  <c r="O139" i="1"/>
  <c r="P139" i="1" s="1"/>
  <c r="S139" i="1" s="1"/>
  <c r="L139" i="1"/>
  <c r="O123" i="1"/>
  <c r="P123" i="1" s="1"/>
  <c r="S123" i="1" s="1"/>
  <c r="L123" i="1"/>
  <c r="O107" i="1"/>
  <c r="P107" i="1" s="1"/>
  <c r="S107" i="1" s="1"/>
  <c r="L107" i="1"/>
  <c r="O83" i="1"/>
  <c r="P83" i="1" s="1"/>
  <c r="R83" i="1" s="1"/>
  <c r="L83" i="1"/>
  <c r="O67" i="1"/>
  <c r="P67" i="1" s="1"/>
  <c r="S67" i="1" s="1"/>
  <c r="L67" i="1"/>
  <c r="O51" i="1"/>
  <c r="P51" i="1" s="1"/>
  <c r="S51" i="1" s="1"/>
  <c r="L51" i="1"/>
  <c r="O282" i="1"/>
  <c r="P282" i="1" s="1"/>
  <c r="R282" i="1" s="1"/>
  <c r="L282" i="1"/>
  <c r="O266" i="1"/>
  <c r="P266" i="1" s="1"/>
  <c r="Q266" i="1" s="1"/>
  <c r="L266" i="1"/>
  <c r="O250" i="1"/>
  <c r="P250" i="1" s="1"/>
  <c r="R250" i="1" s="1"/>
  <c r="L250" i="1"/>
  <c r="O234" i="1"/>
  <c r="P234" i="1" s="1"/>
  <c r="Q234" i="1" s="1"/>
  <c r="L234" i="1"/>
  <c r="O218" i="1"/>
  <c r="P218" i="1" s="1"/>
  <c r="Q218" i="1" s="1"/>
  <c r="L218" i="1"/>
  <c r="O202" i="1"/>
  <c r="P202" i="1" s="1"/>
  <c r="Q202" i="1" s="1"/>
  <c r="L202" i="1"/>
  <c r="O178" i="1"/>
  <c r="P178" i="1" s="1"/>
  <c r="S178" i="1" s="1"/>
  <c r="L178" i="1"/>
  <c r="O162" i="1"/>
  <c r="P162" i="1" s="1"/>
  <c r="R162" i="1" s="1"/>
  <c r="L162" i="1"/>
  <c r="O146" i="1"/>
  <c r="P146" i="1" s="1"/>
  <c r="S146" i="1" s="1"/>
  <c r="L146" i="1"/>
  <c r="O130" i="1"/>
  <c r="P130" i="1" s="1"/>
  <c r="R130" i="1" s="1"/>
  <c r="L130" i="1"/>
  <c r="O289" i="1"/>
  <c r="P289" i="1" s="1"/>
  <c r="S289" i="1" s="1"/>
  <c r="L289" i="1"/>
  <c r="O273" i="1"/>
  <c r="P273" i="1" s="1"/>
  <c r="S273" i="1" s="1"/>
  <c r="L273" i="1"/>
  <c r="O257" i="1"/>
  <c r="P257" i="1" s="1"/>
  <c r="Q257" i="1" s="1"/>
  <c r="L257" i="1"/>
  <c r="O241" i="1"/>
  <c r="P241" i="1" s="1"/>
  <c r="R241" i="1" s="1"/>
  <c r="L241" i="1"/>
  <c r="O225" i="1"/>
  <c r="P225" i="1" s="1"/>
  <c r="S225" i="1" s="1"/>
  <c r="L225" i="1"/>
  <c r="O209" i="1"/>
  <c r="P209" i="1" s="1"/>
  <c r="S209" i="1" s="1"/>
  <c r="L209" i="1"/>
  <c r="O193" i="1"/>
  <c r="P193" i="1" s="1"/>
  <c r="S193" i="1" s="1"/>
  <c r="L193" i="1"/>
  <c r="O177" i="1"/>
  <c r="P177" i="1" s="1"/>
  <c r="Q177" i="1" s="1"/>
  <c r="L177" i="1"/>
  <c r="O161" i="1"/>
  <c r="P161" i="1" s="1"/>
  <c r="S161" i="1" s="1"/>
  <c r="L161" i="1"/>
  <c r="O145" i="1"/>
  <c r="P145" i="1" s="1"/>
  <c r="R145" i="1" s="1"/>
  <c r="L145" i="1"/>
  <c r="O288" i="1"/>
  <c r="P288" i="1" s="1"/>
  <c r="S288" i="1" s="1"/>
  <c r="L288" i="1"/>
  <c r="O280" i="1"/>
  <c r="P280" i="1" s="1"/>
  <c r="S280" i="1" s="1"/>
  <c r="L280" i="1"/>
  <c r="O272" i="1"/>
  <c r="P272" i="1" s="1"/>
  <c r="S272" i="1" s="1"/>
  <c r="L272" i="1"/>
  <c r="O264" i="1"/>
  <c r="P264" i="1" s="1"/>
  <c r="S264" i="1" s="1"/>
  <c r="L264" i="1"/>
  <c r="O256" i="1"/>
  <c r="P256" i="1" s="1"/>
  <c r="S256" i="1" s="1"/>
  <c r="L256" i="1"/>
  <c r="O248" i="1"/>
  <c r="P248" i="1" s="1"/>
  <c r="S248" i="1" s="1"/>
  <c r="L248" i="1"/>
  <c r="O240" i="1"/>
  <c r="P240" i="1" s="1"/>
  <c r="S240" i="1" s="1"/>
  <c r="L240" i="1"/>
  <c r="O232" i="1"/>
  <c r="P232" i="1" s="1"/>
  <c r="S232" i="1" s="1"/>
  <c r="L232" i="1"/>
  <c r="O224" i="1"/>
  <c r="P224" i="1" s="1"/>
  <c r="S224" i="1" s="1"/>
  <c r="L224" i="1"/>
  <c r="O216" i="1"/>
  <c r="P216" i="1" s="1"/>
  <c r="S216" i="1" s="1"/>
  <c r="L216" i="1"/>
  <c r="O208" i="1"/>
  <c r="P208" i="1" s="1"/>
  <c r="S208" i="1" s="1"/>
  <c r="L208" i="1"/>
  <c r="O200" i="1"/>
  <c r="P200" i="1" s="1"/>
  <c r="S200" i="1" s="1"/>
  <c r="L200" i="1"/>
  <c r="O192" i="1"/>
  <c r="P192" i="1" s="1"/>
  <c r="S192" i="1" s="1"/>
  <c r="L192" i="1"/>
  <c r="O184" i="1"/>
  <c r="P184" i="1" s="1"/>
  <c r="S184" i="1" s="1"/>
  <c r="L184" i="1"/>
  <c r="O176" i="1"/>
  <c r="P176" i="1" s="1"/>
  <c r="S176" i="1" s="1"/>
  <c r="L176" i="1"/>
  <c r="O168" i="1"/>
  <c r="P168" i="1" s="1"/>
  <c r="S168" i="1" s="1"/>
  <c r="L168" i="1"/>
  <c r="O160" i="1"/>
  <c r="P160" i="1" s="1"/>
  <c r="S160" i="1" s="1"/>
  <c r="L160" i="1"/>
  <c r="O152" i="1"/>
  <c r="P152" i="1" s="1"/>
  <c r="S152" i="1" s="1"/>
  <c r="L152" i="1"/>
  <c r="O144" i="1"/>
  <c r="P144" i="1" s="1"/>
  <c r="S144" i="1" s="1"/>
  <c r="L144" i="1"/>
  <c r="O136" i="1"/>
  <c r="P136" i="1" s="1"/>
  <c r="S136" i="1" s="1"/>
  <c r="L136" i="1"/>
  <c r="O287" i="1"/>
  <c r="P287" i="1" s="1"/>
  <c r="Q287" i="1" s="1"/>
  <c r="L287" i="1"/>
  <c r="O279" i="1"/>
  <c r="P279" i="1" s="1"/>
  <c r="R279" i="1" s="1"/>
  <c r="L279" i="1"/>
  <c r="O271" i="1"/>
  <c r="P271" i="1" s="1"/>
  <c r="S271" i="1" s="1"/>
  <c r="L271" i="1"/>
  <c r="O263" i="1"/>
  <c r="P263" i="1" s="1"/>
  <c r="Q263" i="1" s="1"/>
  <c r="L263" i="1"/>
  <c r="O255" i="1"/>
  <c r="P255" i="1" s="1"/>
  <c r="Q255" i="1" s="1"/>
  <c r="L255" i="1"/>
  <c r="O247" i="1"/>
  <c r="P247" i="1" s="1"/>
  <c r="R247" i="1" s="1"/>
  <c r="L247" i="1"/>
  <c r="O239" i="1"/>
  <c r="P239" i="1" s="1"/>
  <c r="S239" i="1" s="1"/>
  <c r="L239" i="1"/>
  <c r="O231" i="1"/>
  <c r="P231" i="1" s="1"/>
  <c r="Q231" i="1" s="1"/>
  <c r="L231" i="1"/>
  <c r="O223" i="1"/>
  <c r="P223" i="1" s="1"/>
  <c r="Q223" i="1" s="1"/>
  <c r="L223" i="1"/>
  <c r="O215" i="1"/>
  <c r="P215" i="1" s="1"/>
  <c r="R215" i="1" s="1"/>
  <c r="L215" i="1"/>
  <c r="O207" i="1"/>
  <c r="P207" i="1" s="1"/>
  <c r="S207" i="1" s="1"/>
  <c r="L207" i="1"/>
  <c r="O199" i="1"/>
  <c r="P199" i="1" s="1"/>
  <c r="Q199" i="1" s="1"/>
  <c r="L199" i="1"/>
  <c r="O191" i="1"/>
  <c r="P191" i="1" s="1"/>
  <c r="Q191" i="1" s="1"/>
  <c r="L191" i="1"/>
  <c r="O183" i="1"/>
  <c r="P183" i="1" s="1"/>
  <c r="R183" i="1" s="1"/>
  <c r="L183" i="1"/>
  <c r="O175" i="1"/>
  <c r="P175" i="1" s="1"/>
  <c r="S175" i="1" s="1"/>
  <c r="L175" i="1"/>
  <c r="O167" i="1"/>
  <c r="P167" i="1" s="1"/>
  <c r="Q167" i="1" s="1"/>
  <c r="L167" i="1"/>
  <c r="O159" i="1"/>
  <c r="P159" i="1" s="1"/>
  <c r="Q159" i="1" s="1"/>
  <c r="L159" i="1"/>
  <c r="O151" i="1"/>
  <c r="P151" i="1" s="1"/>
  <c r="R151" i="1" s="1"/>
  <c r="L151" i="1"/>
  <c r="O143" i="1"/>
  <c r="P143" i="1" s="1"/>
  <c r="S143" i="1" s="1"/>
  <c r="L143" i="1"/>
  <c r="O135" i="1"/>
  <c r="P135" i="1" s="1"/>
  <c r="Q135" i="1" s="1"/>
  <c r="L135" i="1"/>
  <c r="O286" i="1"/>
  <c r="P286" i="1" s="1"/>
  <c r="R286" i="1" s="1"/>
  <c r="L286" i="1"/>
  <c r="O278" i="1"/>
  <c r="P278" i="1" s="1"/>
  <c r="R278" i="1" s="1"/>
  <c r="L278" i="1"/>
  <c r="O270" i="1"/>
  <c r="P270" i="1" s="1"/>
  <c r="S270" i="1" s="1"/>
  <c r="L270" i="1"/>
  <c r="O262" i="1"/>
  <c r="P262" i="1" s="1"/>
  <c r="Q262" i="1" s="1"/>
  <c r="L262" i="1"/>
  <c r="O254" i="1"/>
  <c r="P254" i="1" s="1"/>
  <c r="Q254" i="1" s="1"/>
  <c r="L254" i="1"/>
  <c r="O246" i="1"/>
  <c r="P246" i="1" s="1"/>
  <c r="Q246" i="1" s="1"/>
  <c r="L246" i="1"/>
  <c r="O238" i="1"/>
  <c r="P238" i="1" s="1"/>
  <c r="R238" i="1" s="1"/>
  <c r="L238" i="1"/>
  <c r="O230" i="1"/>
  <c r="P230" i="1" s="1"/>
  <c r="R230" i="1" s="1"/>
  <c r="L230" i="1"/>
  <c r="O222" i="1"/>
  <c r="P222" i="1" s="1"/>
  <c r="S222" i="1" s="1"/>
  <c r="L222" i="1"/>
  <c r="O214" i="1"/>
  <c r="P214" i="1" s="1"/>
  <c r="Q214" i="1" s="1"/>
  <c r="L214" i="1"/>
  <c r="O206" i="1"/>
  <c r="P206" i="1" s="1"/>
  <c r="S206" i="1" s="1"/>
  <c r="L206" i="1"/>
  <c r="O198" i="1"/>
  <c r="P198" i="1" s="1"/>
  <c r="S198" i="1" s="1"/>
  <c r="L198" i="1"/>
  <c r="O190" i="1"/>
  <c r="P190" i="1" s="1"/>
  <c r="Q190" i="1" s="1"/>
  <c r="L190" i="1"/>
  <c r="O182" i="1"/>
  <c r="P182" i="1" s="1"/>
  <c r="Q182" i="1" s="1"/>
  <c r="L182" i="1"/>
  <c r="O174" i="1"/>
  <c r="P174" i="1" s="1"/>
  <c r="Q174" i="1" s="1"/>
  <c r="L174" i="1"/>
  <c r="O166" i="1"/>
  <c r="P166" i="1" s="1"/>
  <c r="S166" i="1" s="1"/>
  <c r="L166" i="1"/>
  <c r="O158" i="1"/>
  <c r="P158" i="1" s="1"/>
  <c r="R158" i="1" s="1"/>
  <c r="L158" i="1"/>
  <c r="O150" i="1"/>
  <c r="P150" i="1" s="1"/>
  <c r="S150" i="1" s="1"/>
  <c r="L150" i="1"/>
  <c r="O142" i="1"/>
  <c r="P142" i="1" s="1"/>
  <c r="Q142" i="1" s="1"/>
  <c r="L142" i="1"/>
  <c r="O134" i="1"/>
  <c r="P134" i="1" s="1"/>
  <c r="Q134" i="1" s="1"/>
  <c r="L134" i="1"/>
  <c r="O126" i="1"/>
  <c r="P126" i="1" s="1"/>
  <c r="Q126" i="1" s="1"/>
  <c r="L126" i="1"/>
  <c r="O118" i="1"/>
  <c r="P118" i="1" s="1"/>
  <c r="S118" i="1" s="1"/>
  <c r="L118" i="1"/>
  <c r="O110" i="1"/>
  <c r="P110" i="1" s="1"/>
  <c r="Q110" i="1" s="1"/>
  <c r="L110" i="1"/>
  <c r="O102" i="1"/>
  <c r="P102" i="1" s="1"/>
  <c r="Q102" i="1" s="1"/>
  <c r="L102" i="1"/>
  <c r="O94" i="1"/>
  <c r="P94" i="1" s="1"/>
  <c r="R94" i="1" s="1"/>
  <c r="L94" i="1"/>
  <c r="O86" i="1"/>
  <c r="P86" i="1" s="1"/>
  <c r="S86" i="1" s="1"/>
  <c r="L86" i="1"/>
  <c r="O78" i="1"/>
  <c r="P78" i="1" s="1"/>
  <c r="S78" i="1" s="1"/>
  <c r="L78" i="1"/>
  <c r="O70" i="1"/>
  <c r="P70" i="1" s="1"/>
  <c r="S70" i="1" s="1"/>
  <c r="L70" i="1"/>
  <c r="O62" i="1"/>
  <c r="P62" i="1" s="1"/>
  <c r="Q62" i="1" s="1"/>
  <c r="L62" i="1"/>
  <c r="O54" i="1"/>
  <c r="P54" i="1" s="1"/>
  <c r="R54" i="1" s="1"/>
  <c r="L54" i="1"/>
  <c r="O46" i="1"/>
  <c r="P46" i="1" s="1"/>
  <c r="R46" i="1" s="1"/>
  <c r="L46" i="1"/>
  <c r="O38" i="1"/>
  <c r="P38" i="1" s="1"/>
  <c r="Q38" i="1" s="1"/>
  <c r="L38" i="1"/>
  <c r="O30" i="1"/>
  <c r="P30" i="1" s="1"/>
  <c r="S30" i="1" s="1"/>
  <c r="L30" i="1"/>
  <c r="O22" i="1"/>
  <c r="P22" i="1" s="1"/>
  <c r="S22" i="1" s="1"/>
  <c r="L22" i="1"/>
  <c r="O283" i="1"/>
  <c r="P283" i="1" s="1"/>
  <c r="R283" i="1" s="1"/>
  <c r="L283" i="1"/>
  <c r="O267" i="1"/>
  <c r="P267" i="1" s="1"/>
  <c r="S267" i="1" s="1"/>
  <c r="L267" i="1"/>
  <c r="O251" i="1"/>
  <c r="P251" i="1" s="1"/>
  <c r="Q251" i="1" s="1"/>
  <c r="L251" i="1"/>
  <c r="O235" i="1"/>
  <c r="P235" i="1" s="1"/>
  <c r="S235" i="1" s="1"/>
  <c r="L235" i="1"/>
  <c r="O219" i="1"/>
  <c r="P219" i="1" s="1"/>
  <c r="S219" i="1" s="1"/>
  <c r="L219" i="1"/>
  <c r="O203" i="1"/>
  <c r="P203" i="1" s="1"/>
  <c r="R203" i="1" s="1"/>
  <c r="L203" i="1"/>
  <c r="O195" i="1"/>
  <c r="P195" i="1" s="1"/>
  <c r="S195" i="1" s="1"/>
  <c r="L195" i="1"/>
  <c r="O179" i="1"/>
  <c r="P179" i="1" s="1"/>
  <c r="S179" i="1" s="1"/>
  <c r="L179" i="1"/>
  <c r="O163" i="1"/>
  <c r="P163" i="1" s="1"/>
  <c r="S163" i="1" s="1"/>
  <c r="L163" i="1"/>
  <c r="O147" i="1"/>
  <c r="P147" i="1" s="1"/>
  <c r="R147" i="1" s="1"/>
  <c r="L147" i="1"/>
  <c r="O131" i="1"/>
  <c r="P131" i="1" s="1"/>
  <c r="R131" i="1" s="1"/>
  <c r="L131" i="1"/>
  <c r="O115" i="1"/>
  <c r="P115" i="1" s="1"/>
  <c r="Q115" i="1" s="1"/>
  <c r="L115" i="1"/>
  <c r="O99" i="1"/>
  <c r="P99" i="1" s="1"/>
  <c r="S99" i="1" s="1"/>
  <c r="L99" i="1"/>
  <c r="O91" i="1"/>
  <c r="P91" i="1" s="1"/>
  <c r="R91" i="1" s="1"/>
  <c r="L91" i="1"/>
  <c r="O75" i="1"/>
  <c r="P75" i="1" s="1"/>
  <c r="Q75" i="1" s="1"/>
  <c r="L75" i="1"/>
  <c r="O59" i="1"/>
  <c r="P59" i="1" s="1"/>
  <c r="Q59" i="1" s="1"/>
  <c r="L59" i="1"/>
  <c r="O43" i="1"/>
  <c r="P43" i="1" s="1"/>
  <c r="S43" i="1" s="1"/>
  <c r="L43" i="1"/>
  <c r="O35" i="1"/>
  <c r="P35" i="1" s="1"/>
  <c r="S35" i="1" s="1"/>
  <c r="L35" i="1"/>
  <c r="O27" i="1"/>
  <c r="P27" i="1" s="1"/>
  <c r="S27" i="1" s="1"/>
  <c r="L27" i="1"/>
  <c r="O274" i="1"/>
  <c r="P274" i="1" s="1"/>
  <c r="S274" i="1" s="1"/>
  <c r="L274" i="1"/>
  <c r="O258" i="1"/>
  <c r="P258" i="1" s="1"/>
  <c r="R258" i="1" s="1"/>
  <c r="L258" i="1"/>
  <c r="O242" i="1"/>
  <c r="P242" i="1" s="1"/>
  <c r="S242" i="1" s="1"/>
  <c r="L242" i="1"/>
  <c r="O226" i="1"/>
  <c r="P226" i="1" s="1"/>
  <c r="R226" i="1" s="1"/>
  <c r="L226" i="1"/>
  <c r="O210" i="1"/>
  <c r="P210" i="1" s="1"/>
  <c r="S210" i="1" s="1"/>
  <c r="L210" i="1"/>
  <c r="O194" i="1"/>
  <c r="P194" i="1" s="1"/>
  <c r="R194" i="1" s="1"/>
  <c r="L194" i="1"/>
  <c r="O186" i="1"/>
  <c r="P186" i="1" s="1"/>
  <c r="R186" i="1" s="1"/>
  <c r="L186" i="1"/>
  <c r="O170" i="1"/>
  <c r="P170" i="1" s="1"/>
  <c r="Q170" i="1" s="1"/>
  <c r="L170" i="1"/>
  <c r="O154" i="1"/>
  <c r="P154" i="1" s="1"/>
  <c r="R154" i="1" s="1"/>
  <c r="L154" i="1"/>
  <c r="O138" i="1"/>
  <c r="P138" i="1" s="1"/>
  <c r="Q138" i="1" s="1"/>
  <c r="L138" i="1"/>
  <c r="O281" i="1"/>
  <c r="P281" i="1" s="1"/>
  <c r="S281" i="1" s="1"/>
  <c r="L281" i="1"/>
  <c r="O265" i="1"/>
  <c r="P265" i="1" s="1"/>
  <c r="S265" i="1" s="1"/>
  <c r="L265" i="1"/>
  <c r="O249" i="1"/>
  <c r="P249" i="1" s="1"/>
  <c r="S249" i="1" s="1"/>
  <c r="L249" i="1"/>
  <c r="O233" i="1"/>
  <c r="P233" i="1" s="1"/>
  <c r="R233" i="1" s="1"/>
  <c r="L233" i="1"/>
  <c r="O217" i="1"/>
  <c r="P217" i="1" s="1"/>
  <c r="S217" i="1" s="1"/>
  <c r="L217" i="1"/>
  <c r="O201" i="1"/>
  <c r="P201" i="1" s="1"/>
  <c r="Q201" i="1" s="1"/>
  <c r="L201" i="1"/>
  <c r="O185" i="1"/>
  <c r="P185" i="1" s="1"/>
  <c r="Q185" i="1" s="1"/>
  <c r="L185" i="1"/>
  <c r="O169" i="1"/>
  <c r="P169" i="1" s="1"/>
  <c r="S169" i="1" s="1"/>
  <c r="L169" i="1"/>
  <c r="O153" i="1"/>
  <c r="P153" i="1" s="1"/>
  <c r="S153" i="1" s="1"/>
  <c r="L153" i="1"/>
  <c r="O137" i="1"/>
  <c r="P137" i="1" s="1"/>
  <c r="Q137" i="1" s="1"/>
  <c r="L137" i="1"/>
  <c r="O285" i="1"/>
  <c r="P285" i="1" s="1"/>
  <c r="S285" i="1" s="1"/>
  <c r="L285" i="1"/>
  <c r="O277" i="1"/>
  <c r="P277" i="1" s="1"/>
  <c r="R277" i="1" s="1"/>
  <c r="L277" i="1"/>
  <c r="O269" i="1"/>
  <c r="P269" i="1" s="1"/>
  <c r="S269" i="1" s="1"/>
  <c r="L269" i="1"/>
  <c r="O261" i="1"/>
  <c r="P261" i="1" s="1"/>
  <c r="R261" i="1" s="1"/>
  <c r="L261" i="1"/>
  <c r="O253" i="1"/>
  <c r="P253" i="1" s="1"/>
  <c r="R253" i="1" s="1"/>
  <c r="L253" i="1"/>
  <c r="O245" i="1"/>
  <c r="P245" i="1" s="1"/>
  <c r="S245" i="1" s="1"/>
  <c r="L245" i="1"/>
  <c r="O237" i="1"/>
  <c r="P237" i="1" s="1"/>
  <c r="R237" i="1" s="1"/>
  <c r="L237" i="1"/>
  <c r="O229" i="1"/>
  <c r="P229" i="1" s="1"/>
  <c r="R229" i="1" s="1"/>
  <c r="L229" i="1"/>
  <c r="O221" i="1"/>
  <c r="P221" i="1" s="1"/>
  <c r="S221" i="1" s="1"/>
  <c r="L221" i="1"/>
  <c r="O213" i="1"/>
  <c r="P213" i="1" s="1"/>
  <c r="S213" i="1" s="1"/>
  <c r="L213" i="1"/>
  <c r="O205" i="1"/>
  <c r="P205" i="1" s="1"/>
  <c r="R205" i="1" s="1"/>
  <c r="L205" i="1"/>
  <c r="O197" i="1"/>
  <c r="P197" i="1" s="1"/>
  <c r="Q197" i="1" s="1"/>
  <c r="L197" i="1"/>
  <c r="O189" i="1"/>
  <c r="P189" i="1" s="1"/>
  <c r="S189" i="1" s="1"/>
  <c r="L189" i="1"/>
  <c r="O181" i="1"/>
  <c r="P181" i="1" s="1"/>
  <c r="R181" i="1" s="1"/>
  <c r="L181" i="1"/>
  <c r="O173" i="1"/>
  <c r="P173" i="1" s="1"/>
  <c r="Q173" i="1" s="1"/>
  <c r="L173" i="1"/>
  <c r="O165" i="1"/>
  <c r="P165" i="1" s="1"/>
  <c r="S165" i="1" s="1"/>
  <c r="L165" i="1"/>
  <c r="O157" i="1"/>
  <c r="P157" i="1" s="1"/>
  <c r="R157" i="1" s="1"/>
  <c r="L157" i="1"/>
  <c r="O149" i="1"/>
  <c r="P149" i="1" s="1"/>
  <c r="Q149" i="1" s="1"/>
  <c r="L149" i="1"/>
  <c r="O141" i="1"/>
  <c r="P141" i="1" s="1"/>
  <c r="S141" i="1" s="1"/>
  <c r="L141" i="1"/>
  <c r="O133" i="1"/>
  <c r="P133" i="1" s="1"/>
  <c r="R133" i="1" s="1"/>
  <c r="L133" i="1"/>
  <c r="O125" i="1"/>
  <c r="P125" i="1" s="1"/>
  <c r="Q125" i="1" s="1"/>
  <c r="L125" i="1"/>
  <c r="O117" i="1"/>
  <c r="P117" i="1" s="1"/>
  <c r="S117" i="1" s="1"/>
  <c r="L117" i="1"/>
  <c r="O109" i="1"/>
  <c r="P109" i="1" s="1"/>
  <c r="R109" i="1" s="1"/>
  <c r="L109" i="1"/>
  <c r="O101" i="1"/>
  <c r="P101" i="1" s="1"/>
  <c r="Q101" i="1" s="1"/>
  <c r="L101" i="1"/>
  <c r="O93" i="1"/>
  <c r="P93" i="1" s="1"/>
  <c r="S93" i="1" s="1"/>
  <c r="L93" i="1"/>
  <c r="O85" i="1"/>
  <c r="P85" i="1" s="1"/>
  <c r="R85" i="1" s="1"/>
  <c r="L85" i="1"/>
  <c r="O77" i="1"/>
  <c r="P77" i="1" s="1"/>
  <c r="Q77" i="1" s="1"/>
  <c r="L77" i="1"/>
  <c r="O69" i="1"/>
  <c r="P69" i="1" s="1"/>
  <c r="S69" i="1" s="1"/>
  <c r="L69" i="1"/>
  <c r="O61" i="1"/>
  <c r="P61" i="1" s="1"/>
  <c r="R61" i="1" s="1"/>
  <c r="L61" i="1"/>
  <c r="O53" i="1"/>
  <c r="P53" i="1" s="1"/>
  <c r="Q53" i="1" s="1"/>
  <c r="L53" i="1"/>
  <c r="O45" i="1"/>
  <c r="P45" i="1" s="1"/>
  <c r="S45" i="1" s="1"/>
  <c r="L45" i="1"/>
  <c r="O37" i="1"/>
  <c r="P37" i="1" s="1"/>
  <c r="R37" i="1" s="1"/>
  <c r="L37" i="1"/>
  <c r="O29" i="1"/>
  <c r="P29" i="1" s="1"/>
  <c r="Q29" i="1" s="1"/>
  <c r="L29" i="1"/>
  <c r="O21" i="1"/>
  <c r="P21" i="1" s="1"/>
  <c r="S21" i="1" s="1"/>
  <c r="L21" i="1"/>
  <c r="O284" i="1"/>
  <c r="P284" i="1" s="1"/>
  <c r="Q284" i="1" s="1"/>
  <c r="L284" i="1"/>
  <c r="O276" i="1"/>
  <c r="P276" i="1" s="1"/>
  <c r="S276" i="1" s="1"/>
  <c r="L276" i="1"/>
  <c r="O268" i="1"/>
  <c r="P268" i="1" s="1"/>
  <c r="R268" i="1" s="1"/>
  <c r="L268" i="1"/>
  <c r="O260" i="1"/>
  <c r="P260" i="1" s="1"/>
  <c r="S260" i="1" s="1"/>
  <c r="L260" i="1"/>
  <c r="O252" i="1"/>
  <c r="P252" i="1" s="1"/>
  <c r="Q252" i="1" s="1"/>
  <c r="L252" i="1"/>
  <c r="O244" i="1"/>
  <c r="P244" i="1" s="1"/>
  <c r="R244" i="1" s="1"/>
  <c r="L244" i="1"/>
  <c r="O236" i="1"/>
  <c r="P236" i="1" s="1"/>
  <c r="S236" i="1" s="1"/>
  <c r="L236" i="1"/>
  <c r="O228" i="1"/>
  <c r="P228" i="1" s="1"/>
  <c r="Q228" i="1" s="1"/>
  <c r="L228" i="1"/>
  <c r="O220" i="1"/>
  <c r="P220" i="1" s="1"/>
  <c r="S220" i="1" s="1"/>
  <c r="L220" i="1"/>
  <c r="O212" i="1"/>
  <c r="P212" i="1" s="1"/>
  <c r="R212" i="1" s="1"/>
  <c r="L212" i="1"/>
  <c r="O204" i="1"/>
  <c r="P204" i="1" s="1"/>
  <c r="S204" i="1" s="1"/>
  <c r="L204" i="1"/>
  <c r="O196" i="1"/>
  <c r="P196" i="1" s="1"/>
  <c r="R196" i="1" s="1"/>
  <c r="L196" i="1"/>
  <c r="O188" i="1"/>
  <c r="P188" i="1" s="1"/>
  <c r="R188" i="1" s="1"/>
  <c r="L188" i="1"/>
  <c r="O180" i="1"/>
  <c r="P180" i="1" s="1"/>
  <c r="S180" i="1" s="1"/>
  <c r="L180" i="1"/>
  <c r="O172" i="1"/>
  <c r="P172" i="1" s="1"/>
  <c r="R172" i="1" s="1"/>
  <c r="L172" i="1"/>
  <c r="O164" i="1"/>
  <c r="P164" i="1" s="1"/>
  <c r="S164" i="1" s="1"/>
  <c r="L164" i="1"/>
  <c r="O156" i="1"/>
  <c r="P156" i="1" s="1"/>
  <c r="Q156" i="1" s="1"/>
  <c r="L156" i="1"/>
  <c r="O148" i="1"/>
  <c r="P148" i="1" s="1"/>
  <c r="R148" i="1" s="1"/>
  <c r="L148" i="1"/>
  <c r="O140" i="1"/>
  <c r="P140" i="1" s="1"/>
  <c r="Q140" i="1" s="1"/>
  <c r="L140" i="1"/>
  <c r="O132" i="1"/>
  <c r="P132" i="1" s="1"/>
  <c r="R132" i="1" s="1"/>
  <c r="L132" i="1"/>
  <c r="O124" i="1"/>
  <c r="P124" i="1" s="1"/>
  <c r="S124" i="1" s="1"/>
  <c r="L124" i="1"/>
  <c r="O116" i="1"/>
  <c r="P116" i="1" s="1"/>
  <c r="R116" i="1" s="1"/>
  <c r="L116" i="1"/>
  <c r="O108" i="1"/>
  <c r="P108" i="1" s="1"/>
  <c r="S108" i="1" s="1"/>
  <c r="L108" i="1"/>
  <c r="O100" i="1"/>
  <c r="P100" i="1" s="1"/>
  <c r="S100" i="1" s="1"/>
  <c r="L100" i="1"/>
  <c r="O92" i="1"/>
  <c r="P92" i="1" s="1"/>
  <c r="S92" i="1" s="1"/>
  <c r="L92" i="1"/>
  <c r="O84" i="1"/>
  <c r="P84" i="1" s="1"/>
  <c r="Q84" i="1" s="1"/>
  <c r="L84" i="1"/>
  <c r="O76" i="1"/>
  <c r="P76" i="1" s="1"/>
  <c r="Q76" i="1" s="1"/>
  <c r="L76" i="1"/>
  <c r="O68" i="1"/>
  <c r="P68" i="1" s="1"/>
  <c r="S68" i="1" s="1"/>
  <c r="L68" i="1"/>
  <c r="O60" i="1"/>
  <c r="P60" i="1" s="1"/>
  <c r="R60" i="1" s="1"/>
  <c r="L60" i="1"/>
  <c r="O52" i="1"/>
  <c r="P52" i="1" s="1"/>
  <c r="S52" i="1" s="1"/>
  <c r="L52" i="1"/>
  <c r="O44" i="1"/>
  <c r="P44" i="1" s="1"/>
  <c r="R44" i="1" s="1"/>
  <c r="L44" i="1"/>
  <c r="O36" i="1"/>
  <c r="P36" i="1" s="1"/>
  <c r="S36" i="1" s="1"/>
  <c r="L36" i="1"/>
  <c r="O28" i="1"/>
  <c r="P28" i="1" s="1"/>
  <c r="R28" i="1" s="1"/>
  <c r="L28" i="1"/>
  <c r="O20" i="1"/>
  <c r="P20" i="1" s="1"/>
  <c r="R20" i="1" s="1"/>
  <c r="L20" i="1"/>
  <c r="O122" i="1"/>
  <c r="P122" i="1" s="1"/>
  <c r="R122" i="1" s="1"/>
  <c r="L122" i="1"/>
  <c r="O114" i="1"/>
  <c r="P114" i="1" s="1"/>
  <c r="S114" i="1" s="1"/>
  <c r="L114" i="1"/>
  <c r="O106" i="1"/>
  <c r="P106" i="1" s="1"/>
  <c r="Q106" i="1" s="1"/>
  <c r="L106" i="1"/>
  <c r="O98" i="1"/>
  <c r="P98" i="1" s="1"/>
  <c r="R98" i="1" s="1"/>
  <c r="L98" i="1"/>
  <c r="O90" i="1"/>
  <c r="P90" i="1" s="1"/>
  <c r="R90" i="1" s="1"/>
  <c r="L90" i="1"/>
  <c r="O82" i="1"/>
  <c r="P82" i="1" s="1"/>
  <c r="S82" i="1" s="1"/>
  <c r="L82" i="1"/>
  <c r="O74" i="1"/>
  <c r="P74" i="1" s="1"/>
  <c r="Q74" i="1" s="1"/>
  <c r="L74" i="1"/>
  <c r="O66" i="1"/>
  <c r="P66" i="1" s="1"/>
  <c r="R66" i="1" s="1"/>
  <c r="L66" i="1"/>
  <c r="O58" i="1"/>
  <c r="P58" i="1" s="1"/>
  <c r="R58" i="1" s="1"/>
  <c r="L58" i="1"/>
  <c r="O50" i="1"/>
  <c r="P50" i="1" s="1"/>
  <c r="R50" i="1" s="1"/>
  <c r="L50" i="1"/>
  <c r="O42" i="1"/>
  <c r="P42" i="1" s="1"/>
  <c r="Q42" i="1" s="1"/>
  <c r="L42" i="1"/>
  <c r="O34" i="1"/>
  <c r="P34" i="1" s="1"/>
  <c r="R34" i="1" s="1"/>
  <c r="L34" i="1"/>
  <c r="O26" i="1"/>
  <c r="P26" i="1" s="1"/>
  <c r="R26" i="1" s="1"/>
  <c r="L26" i="1"/>
  <c r="O129" i="1"/>
  <c r="P129" i="1" s="1"/>
  <c r="Q129" i="1" s="1"/>
  <c r="L129" i="1"/>
  <c r="O121" i="1"/>
  <c r="P121" i="1" s="1"/>
  <c r="Q121" i="1" s="1"/>
  <c r="L121" i="1"/>
  <c r="O113" i="1"/>
  <c r="P113" i="1" s="1"/>
  <c r="S113" i="1" s="1"/>
  <c r="L113" i="1"/>
  <c r="O105" i="1"/>
  <c r="P105" i="1" s="1"/>
  <c r="S105" i="1" s="1"/>
  <c r="L105" i="1"/>
  <c r="O97" i="1"/>
  <c r="P97" i="1" s="1"/>
  <c r="R97" i="1" s="1"/>
  <c r="L97" i="1"/>
  <c r="O89" i="1"/>
  <c r="P89" i="1" s="1"/>
  <c r="S89" i="1" s="1"/>
  <c r="L89" i="1"/>
  <c r="O81" i="1"/>
  <c r="P81" i="1" s="1"/>
  <c r="R81" i="1" s="1"/>
  <c r="L81" i="1"/>
  <c r="O73" i="1"/>
  <c r="P73" i="1" s="1"/>
  <c r="Q73" i="1" s="1"/>
  <c r="L73" i="1"/>
  <c r="O65" i="1"/>
  <c r="P65" i="1" s="1"/>
  <c r="S65" i="1" s="1"/>
  <c r="L65" i="1"/>
  <c r="O57" i="1"/>
  <c r="P57" i="1" s="1"/>
  <c r="R57" i="1" s="1"/>
  <c r="L57" i="1"/>
  <c r="O49" i="1"/>
  <c r="P49" i="1" s="1"/>
  <c r="R49" i="1" s="1"/>
  <c r="L49" i="1"/>
  <c r="O41" i="1"/>
  <c r="P41" i="1" s="1"/>
  <c r="R41" i="1" s="1"/>
  <c r="L41" i="1"/>
  <c r="O33" i="1"/>
  <c r="P33" i="1" s="1"/>
  <c r="R33" i="1" s="1"/>
  <c r="L33" i="1"/>
  <c r="O25" i="1"/>
  <c r="P25" i="1" s="1"/>
  <c r="Q25" i="1" s="1"/>
  <c r="L25" i="1"/>
  <c r="O128" i="1"/>
  <c r="P128" i="1" s="1"/>
  <c r="S128" i="1" s="1"/>
  <c r="L128" i="1"/>
  <c r="O120" i="1"/>
  <c r="P120" i="1" s="1"/>
  <c r="S120" i="1" s="1"/>
  <c r="L120" i="1"/>
  <c r="O112" i="1"/>
  <c r="P112" i="1" s="1"/>
  <c r="S112" i="1" s="1"/>
  <c r="L112" i="1"/>
  <c r="O104" i="1"/>
  <c r="P104" i="1" s="1"/>
  <c r="S104" i="1" s="1"/>
  <c r="L104" i="1"/>
  <c r="O96" i="1"/>
  <c r="P96" i="1" s="1"/>
  <c r="S96" i="1" s="1"/>
  <c r="L96" i="1"/>
  <c r="O88" i="1"/>
  <c r="P88" i="1" s="1"/>
  <c r="S88" i="1" s="1"/>
  <c r="L88" i="1"/>
  <c r="O80" i="1"/>
  <c r="P80" i="1" s="1"/>
  <c r="S80" i="1" s="1"/>
  <c r="L80" i="1"/>
  <c r="O72" i="1"/>
  <c r="P72" i="1" s="1"/>
  <c r="S72" i="1" s="1"/>
  <c r="L72" i="1"/>
  <c r="O64" i="1"/>
  <c r="P64" i="1" s="1"/>
  <c r="S64" i="1" s="1"/>
  <c r="L64" i="1"/>
  <c r="O56" i="1"/>
  <c r="P56" i="1" s="1"/>
  <c r="S56" i="1" s="1"/>
  <c r="L56" i="1"/>
  <c r="O48" i="1"/>
  <c r="P48" i="1" s="1"/>
  <c r="S48" i="1" s="1"/>
  <c r="L48" i="1"/>
  <c r="O40" i="1"/>
  <c r="P40" i="1" s="1"/>
  <c r="S40" i="1" s="1"/>
  <c r="L40" i="1"/>
  <c r="O32" i="1"/>
  <c r="P32" i="1" s="1"/>
  <c r="S32" i="1" s="1"/>
  <c r="L32" i="1"/>
  <c r="O24" i="1"/>
  <c r="P24" i="1" s="1"/>
  <c r="S24" i="1" s="1"/>
  <c r="L24" i="1"/>
  <c r="O127" i="1"/>
  <c r="P127" i="1" s="1"/>
  <c r="Q127" i="1" s="1"/>
  <c r="L127" i="1"/>
  <c r="O119" i="1"/>
  <c r="P119" i="1" s="1"/>
  <c r="R119" i="1" s="1"/>
  <c r="L119" i="1"/>
  <c r="O111" i="1"/>
  <c r="P111" i="1" s="1"/>
  <c r="S111" i="1" s="1"/>
  <c r="L111" i="1"/>
  <c r="O103" i="1"/>
  <c r="P103" i="1" s="1"/>
  <c r="Q103" i="1" s="1"/>
  <c r="L103" i="1"/>
  <c r="O95" i="1"/>
  <c r="P95" i="1" s="1"/>
  <c r="Q95" i="1" s="1"/>
  <c r="L95" i="1"/>
  <c r="O87" i="1"/>
  <c r="P87" i="1" s="1"/>
  <c r="R87" i="1" s="1"/>
  <c r="L87" i="1"/>
  <c r="O79" i="1"/>
  <c r="P79" i="1" s="1"/>
  <c r="S79" i="1" s="1"/>
  <c r="L79" i="1"/>
  <c r="O71" i="1"/>
  <c r="P71" i="1" s="1"/>
  <c r="Q71" i="1" s="1"/>
  <c r="L71" i="1"/>
  <c r="O63" i="1"/>
  <c r="P63" i="1" s="1"/>
  <c r="Q63" i="1" s="1"/>
  <c r="L63" i="1"/>
  <c r="O55" i="1"/>
  <c r="P55" i="1" s="1"/>
  <c r="R55" i="1" s="1"/>
  <c r="L55" i="1"/>
  <c r="O47" i="1"/>
  <c r="P47" i="1" s="1"/>
  <c r="S47" i="1" s="1"/>
  <c r="L47" i="1"/>
  <c r="O39" i="1"/>
  <c r="P39" i="1" s="1"/>
  <c r="Q39" i="1" s="1"/>
  <c r="L39" i="1"/>
  <c r="O31" i="1"/>
  <c r="P31" i="1" s="1"/>
  <c r="Q31" i="1" s="1"/>
  <c r="L31" i="1"/>
  <c r="O23" i="1"/>
  <c r="P23" i="1" s="1"/>
  <c r="R23" i="1" s="1"/>
  <c r="L23" i="1"/>
  <c r="O16" i="1"/>
  <c r="P16" i="1" s="1"/>
  <c r="S16" i="1" s="1"/>
  <c r="L16" i="1"/>
  <c r="O19" i="1"/>
  <c r="P19" i="1" s="1"/>
  <c r="R19" i="1" s="1"/>
  <c r="L19" i="1"/>
  <c r="O17" i="1"/>
  <c r="P17" i="1" s="1"/>
  <c r="R17" i="1" s="1"/>
  <c r="L17" i="1"/>
  <c r="O15" i="1"/>
  <c r="P15" i="1" s="1"/>
  <c r="S15" i="1" s="1"/>
  <c r="L15" i="1"/>
  <c r="N27" i="6"/>
  <c r="N19" i="6"/>
  <c r="N24" i="6"/>
  <c r="N20" i="6"/>
  <c r="N26" i="6"/>
  <c r="N18" i="6"/>
  <c r="N25" i="6"/>
  <c r="N13" i="6"/>
  <c r="N23" i="6"/>
  <c r="N22" i="6"/>
  <c r="N21" i="6"/>
  <c r="N17" i="6"/>
  <c r="N12" i="6"/>
  <c r="O8" i="6"/>
  <c r="O7" i="6"/>
  <c r="U367" i="1"/>
  <c r="U395" i="1"/>
  <c r="R93" i="1"/>
  <c r="U292" i="1"/>
  <c r="Q108" i="1"/>
  <c r="R59" i="1"/>
  <c r="Q249" i="1"/>
  <c r="Q139" i="1"/>
  <c r="Q189" i="1"/>
  <c r="Q270" i="1"/>
  <c r="Q184" i="1"/>
  <c r="R249" i="1"/>
  <c r="S73" i="1"/>
  <c r="R106" i="1"/>
  <c r="S122" i="1"/>
  <c r="Q179" i="1"/>
  <c r="Q211" i="1"/>
  <c r="Q28" i="1"/>
  <c r="R245" i="1"/>
  <c r="R112" i="1"/>
  <c r="Q169" i="1"/>
  <c r="R138" i="1"/>
  <c r="R76" i="1"/>
  <c r="R140" i="1"/>
  <c r="Q220" i="1"/>
  <c r="R53" i="1"/>
  <c r="R78" i="1"/>
  <c r="Q198" i="1"/>
  <c r="Q248" i="1"/>
  <c r="R185" i="1"/>
  <c r="R169" i="1"/>
  <c r="Q153" i="1"/>
  <c r="S154" i="1"/>
  <c r="Q196" i="1"/>
  <c r="R164" i="1"/>
  <c r="R115" i="1"/>
  <c r="Q277" i="1"/>
  <c r="Q109" i="1"/>
  <c r="Q21" i="1"/>
  <c r="R176" i="1"/>
  <c r="S185" i="1"/>
  <c r="R177" i="1"/>
  <c r="S41" i="1"/>
  <c r="S241" i="1"/>
  <c r="R153" i="1"/>
  <c r="R178" i="1"/>
  <c r="Q90" i="1"/>
  <c r="Q268" i="1"/>
  <c r="R179" i="1"/>
  <c r="S268" i="1"/>
  <c r="R228" i="1"/>
  <c r="S29" i="1"/>
  <c r="R29" i="1"/>
  <c r="R149" i="1"/>
  <c r="S182" i="1"/>
  <c r="R184" i="1"/>
  <c r="Q56" i="1"/>
  <c r="S177" i="1"/>
  <c r="Q65" i="1"/>
  <c r="Q289" i="1"/>
  <c r="S233" i="1"/>
  <c r="Q250" i="1"/>
  <c r="Q122" i="1"/>
  <c r="Q83" i="1"/>
  <c r="Q141" i="1"/>
  <c r="S259" i="1"/>
  <c r="R99" i="1"/>
  <c r="R240" i="1"/>
  <c r="R129" i="1"/>
  <c r="Q260" i="1"/>
  <c r="R267" i="1"/>
  <c r="R236" i="1"/>
  <c r="Q61" i="1"/>
  <c r="R248" i="1"/>
  <c r="Q120" i="1"/>
  <c r="Q225" i="1"/>
  <c r="S129" i="1"/>
  <c r="S258" i="1"/>
  <c r="Q275" i="1"/>
  <c r="S252" i="1"/>
  <c r="Q92" i="1"/>
  <c r="Q155" i="1"/>
  <c r="S102" i="1"/>
  <c r="Q70" i="1"/>
  <c r="R142" i="1"/>
  <c r="Q119" i="1"/>
  <c r="Q40" i="1"/>
  <c r="Q168" i="1"/>
  <c r="Q232" i="1"/>
  <c r="S145" i="1"/>
  <c r="Q41" i="1"/>
  <c r="S97" i="1"/>
  <c r="R201" i="1"/>
  <c r="S33" i="1"/>
  <c r="Q241" i="1"/>
  <c r="Q233" i="1"/>
  <c r="S39" i="1"/>
  <c r="R274" i="1"/>
  <c r="S234" i="1"/>
  <c r="S162" i="1"/>
  <c r="Q26" i="1"/>
  <c r="S90" i="1"/>
  <c r="S59" i="1"/>
  <c r="S155" i="1"/>
  <c r="Q36" i="1"/>
  <c r="R68" i="1"/>
  <c r="Q67" i="1"/>
  <c r="S188" i="1"/>
  <c r="R199" i="1"/>
  <c r="Q245" i="1"/>
  <c r="R45" i="1"/>
  <c r="Q213" i="1"/>
  <c r="R198" i="1"/>
  <c r="R246" i="1"/>
  <c r="S46" i="1"/>
  <c r="Q238" i="1"/>
  <c r="Q54" i="1"/>
  <c r="R103" i="1"/>
  <c r="S247" i="1"/>
  <c r="R182" i="1"/>
  <c r="R285" i="1"/>
  <c r="Q207" i="1"/>
  <c r="S135" i="1"/>
  <c r="S230" i="1"/>
  <c r="R168" i="1"/>
  <c r="R232" i="1"/>
  <c r="Q48" i="1"/>
  <c r="Q112" i="1"/>
  <c r="Q176" i="1"/>
  <c r="Q240" i="1"/>
  <c r="S121" i="1"/>
  <c r="S71" i="1"/>
  <c r="Q154" i="1"/>
  <c r="S266" i="1"/>
  <c r="R143" i="1"/>
  <c r="Q258" i="1"/>
  <c r="S194" i="1"/>
  <c r="Q58" i="1"/>
  <c r="R74" i="1"/>
  <c r="Q210" i="1"/>
  <c r="Q204" i="1"/>
  <c r="S172" i="1"/>
  <c r="S211" i="1"/>
  <c r="R123" i="1"/>
  <c r="Q51" i="1"/>
  <c r="R139" i="1"/>
  <c r="S60" i="1"/>
  <c r="S196" i="1"/>
  <c r="Q164" i="1"/>
  <c r="Q100" i="1"/>
  <c r="R189" i="1"/>
  <c r="S237" i="1"/>
  <c r="Q93" i="1"/>
  <c r="R43" i="1"/>
  <c r="S187" i="1"/>
  <c r="Q283" i="1"/>
  <c r="R21" i="1"/>
  <c r="Q117" i="1"/>
  <c r="Q44" i="1"/>
  <c r="Q22" i="1"/>
  <c r="S132" i="1"/>
  <c r="R38" i="1"/>
  <c r="Q206" i="1"/>
  <c r="S253" i="1"/>
  <c r="R135" i="1"/>
  <c r="S214" i="1"/>
  <c r="S262" i="1"/>
  <c r="S38" i="1"/>
  <c r="S103" i="1"/>
  <c r="Q143" i="1"/>
  <c r="R263" i="1"/>
  <c r="R167" i="1"/>
  <c r="S55" i="1"/>
  <c r="Q72" i="1"/>
  <c r="Q136" i="1"/>
  <c r="Q200" i="1"/>
  <c r="Q264" i="1"/>
  <c r="Q273" i="1"/>
  <c r="R225" i="1"/>
  <c r="Q217" i="1"/>
  <c r="R65" i="1"/>
  <c r="Q161" i="1"/>
  <c r="Q105" i="1"/>
  <c r="R289" i="1"/>
  <c r="S50" i="1"/>
  <c r="S167" i="1"/>
  <c r="S106" i="1"/>
  <c r="R239" i="1"/>
  <c r="Q82" i="1"/>
  <c r="Q274" i="1"/>
  <c r="Q50" i="1"/>
  <c r="S83" i="1"/>
  <c r="R235" i="1"/>
  <c r="Q68" i="1"/>
  <c r="R284" i="1"/>
  <c r="S283" i="1"/>
  <c r="Q236" i="1"/>
  <c r="S228" i="1"/>
  <c r="S151" i="1"/>
  <c r="Q279" i="1"/>
  <c r="Q157" i="1"/>
  <c r="R117" i="1"/>
  <c r="S61" i="1"/>
  <c r="R77" i="1"/>
  <c r="S19" i="1"/>
  <c r="R213" i="1"/>
  <c r="R118" i="1"/>
  <c r="R70" i="1"/>
  <c r="R110" i="1"/>
  <c r="Q183" i="1"/>
  <c r="Q85" i="1"/>
  <c r="S183" i="1"/>
  <c r="Q99" i="1"/>
  <c r="R187" i="1"/>
  <c r="S174" i="1"/>
  <c r="R102" i="1"/>
  <c r="S54" i="1"/>
  <c r="R175" i="1"/>
  <c r="R136" i="1"/>
  <c r="R200" i="1"/>
  <c r="R264" i="1"/>
  <c r="Q80" i="1"/>
  <c r="Q144" i="1"/>
  <c r="Q208" i="1"/>
  <c r="Q272" i="1"/>
  <c r="R273" i="1"/>
  <c r="R161" i="1"/>
  <c r="Q281" i="1"/>
  <c r="R105" i="1"/>
  <c r="Q209" i="1"/>
  <c r="R89" i="1"/>
  <c r="S199" i="1"/>
  <c r="S138" i="1"/>
  <c r="R271" i="1"/>
  <c r="Q130" i="1"/>
  <c r="R202" i="1"/>
  <c r="S26" i="1"/>
  <c r="R219" i="1"/>
  <c r="Q259" i="1"/>
  <c r="R163" i="1"/>
  <c r="Q163" i="1"/>
  <c r="Q123" i="1"/>
  <c r="Q124" i="1"/>
  <c r="S149" i="1"/>
  <c r="Q181" i="1"/>
  <c r="R141" i="1"/>
  <c r="S85" i="1"/>
  <c r="Q285" i="1"/>
  <c r="S53" i="1"/>
  <c r="R134" i="1"/>
  <c r="S238" i="1"/>
  <c r="Q86" i="1"/>
  <c r="S110" i="1"/>
  <c r="R150" i="1"/>
  <c r="Q239" i="1"/>
  <c r="Q271" i="1"/>
  <c r="S277" i="1"/>
  <c r="Q227" i="1"/>
  <c r="R262" i="1"/>
  <c r="R22" i="1"/>
  <c r="R100" i="1"/>
  <c r="Q150" i="1"/>
  <c r="Q247" i="1"/>
  <c r="R207" i="1"/>
  <c r="S134" i="1"/>
  <c r="R80" i="1"/>
  <c r="R144" i="1"/>
  <c r="R208" i="1"/>
  <c r="R272" i="1"/>
  <c r="Q24" i="1"/>
  <c r="Q88" i="1"/>
  <c r="Q152" i="1"/>
  <c r="Q216" i="1"/>
  <c r="Q280" i="1"/>
  <c r="Q145" i="1"/>
  <c r="Q97" i="1"/>
  <c r="R281" i="1"/>
  <c r="Q33" i="1"/>
  <c r="R209" i="1"/>
  <c r="S231" i="1"/>
  <c r="R114" i="1"/>
  <c r="Q162" i="1"/>
  <c r="R82" i="1"/>
  <c r="R234" i="1"/>
  <c r="S250" i="1"/>
  <c r="R260" i="1"/>
  <c r="R204" i="1"/>
  <c r="Q132" i="1"/>
  <c r="R36" i="1"/>
  <c r="Q219" i="1"/>
  <c r="S28" i="1"/>
  <c r="R67" i="1"/>
  <c r="S127" i="1"/>
  <c r="S63" i="1"/>
  <c r="S215" i="1"/>
  <c r="S181" i="1"/>
  <c r="Q253" i="1"/>
  <c r="R221" i="1"/>
  <c r="S109" i="1"/>
  <c r="S125" i="1"/>
  <c r="R227" i="1"/>
  <c r="R166" i="1"/>
  <c r="R174" i="1"/>
  <c r="S278" i="1"/>
  <c r="Q118" i="1"/>
  <c r="S142" i="1"/>
  <c r="Q151" i="1"/>
  <c r="Q175" i="1"/>
  <c r="Q46" i="1"/>
  <c r="Q78" i="1"/>
  <c r="R214" i="1"/>
  <c r="R231" i="1"/>
  <c r="R125" i="1"/>
  <c r="R86" i="1"/>
  <c r="O18" i="1"/>
  <c r="P18" i="1" s="1"/>
  <c r="R24" i="1"/>
  <c r="R88" i="1"/>
  <c r="R152" i="1"/>
  <c r="R216" i="1"/>
  <c r="R280" i="1"/>
  <c r="S263" i="1"/>
  <c r="R210" i="1"/>
  <c r="S202" i="1"/>
  <c r="Q194" i="1"/>
  <c r="S130" i="1"/>
  <c r="R266" i="1"/>
  <c r="S58" i="1"/>
  <c r="Q178" i="1"/>
  <c r="Q172" i="1"/>
  <c r="Q19" i="1"/>
  <c r="S44" i="1"/>
  <c r="S140" i="1"/>
  <c r="R51" i="1"/>
  <c r="Q235" i="1"/>
  <c r="Q267" i="1"/>
  <c r="S115" i="1"/>
  <c r="R108" i="1"/>
  <c r="S95" i="1"/>
  <c r="S279" i="1"/>
  <c r="R63" i="1"/>
  <c r="Q269" i="1"/>
  <c r="Q221" i="1"/>
  <c r="S157" i="1"/>
  <c r="S76" i="1"/>
  <c r="Q114" i="1"/>
  <c r="S275" i="1"/>
  <c r="Q43" i="1"/>
  <c r="R197" i="1"/>
  <c r="R206" i="1"/>
  <c r="Q166" i="1"/>
  <c r="S246" i="1"/>
  <c r="R270" i="1"/>
  <c r="R39" i="1"/>
  <c r="R71" i="1"/>
  <c r="S31" i="1"/>
  <c r="Q215" i="1"/>
  <c r="S91" i="1"/>
  <c r="Q230" i="1"/>
  <c r="Q278" i="1"/>
  <c r="N14" i="1"/>
  <c r="O14" i="1"/>
  <c r="N6" i="1"/>
  <c r="O6" i="1"/>
  <c r="N13" i="1"/>
  <c r="O13" i="1"/>
  <c r="N5" i="1"/>
  <c r="O5" i="1"/>
  <c r="N12" i="1"/>
  <c r="O12" i="1"/>
  <c r="N4" i="1"/>
  <c r="O4" i="1"/>
  <c r="N11" i="1"/>
  <c r="O11" i="1"/>
  <c r="N3" i="1"/>
  <c r="O8" i="1"/>
  <c r="N8" i="1"/>
  <c r="Q17" i="1"/>
  <c r="N7" i="1"/>
  <c r="O7" i="1"/>
  <c r="R15" i="1"/>
  <c r="U358" i="1"/>
  <c r="U301" i="1"/>
  <c r="U339" i="1"/>
  <c r="U398" i="1"/>
  <c r="U351" i="1"/>
  <c r="U366" i="1"/>
  <c r="T14" i="1"/>
  <c r="U390" i="1"/>
  <c r="U375" i="1"/>
  <c r="U371" i="1"/>
  <c r="U318" i="1"/>
  <c r="U325" i="1"/>
  <c r="U310" i="1"/>
  <c r="U350" i="1"/>
  <c r="U379" i="1"/>
  <c r="U341" i="1"/>
  <c r="U342" i="1"/>
  <c r="U373" i="1"/>
  <c r="U326" i="1"/>
  <c r="U334" i="1"/>
  <c r="U296" i="1"/>
  <c r="U294" i="1"/>
  <c r="U343" i="1"/>
  <c r="U374" i="1"/>
  <c r="U307" i="1"/>
  <c r="U382" i="1"/>
  <c r="U391" i="1"/>
  <c r="U349" i="1"/>
  <c r="U363" i="1"/>
  <c r="U381" i="1"/>
  <c r="U355" i="1"/>
  <c r="U340" i="1"/>
  <c r="U299" i="1"/>
  <c r="U359" i="1"/>
  <c r="U348" i="1"/>
  <c r="U311" i="1"/>
  <c r="U332" i="1"/>
  <c r="U293" i="1"/>
  <c r="U315" i="1"/>
  <c r="U309" i="1"/>
  <c r="U364" i="1"/>
  <c r="U303" i="1"/>
  <c r="U357" i="1"/>
  <c r="U295" i="1"/>
  <c r="U335" i="1"/>
  <c r="U319" i="1"/>
  <c r="U300" i="1"/>
  <c r="U396" i="1"/>
  <c r="U380" i="1"/>
  <c r="U333" i="1"/>
  <c r="U302" i="1"/>
  <c r="U360" i="1"/>
  <c r="U372" i="1"/>
  <c r="U365" i="1"/>
  <c r="U389" i="1"/>
  <c r="U330" i="1"/>
  <c r="U347" i="1"/>
  <c r="U317" i="1"/>
  <c r="U327" i="1"/>
  <c r="U399" i="1"/>
  <c r="U387" i="1"/>
  <c r="U383" i="1"/>
  <c r="U356" i="1"/>
  <c r="U388" i="1"/>
  <c r="U362" i="1"/>
  <c r="U323" i="1"/>
  <c r="U322" i="1"/>
  <c r="U394" i="1"/>
  <c r="U354" i="1"/>
  <c r="U314" i="1"/>
  <c r="U308" i="1"/>
  <c r="U331" i="1"/>
  <c r="U378" i="1"/>
  <c r="U386" i="1"/>
  <c r="U297" i="1"/>
  <c r="U370" i="1"/>
  <c r="U346" i="1"/>
  <c r="U316" i="1"/>
  <c r="U324" i="1"/>
  <c r="U291" i="1"/>
  <c r="U298" i="1"/>
  <c r="U393" i="1"/>
  <c r="U338" i="1"/>
  <c r="U290" i="1"/>
  <c r="U369" i="1"/>
  <c r="U306" i="1"/>
  <c r="U353" i="1"/>
  <c r="U377" i="1"/>
  <c r="U385" i="1"/>
  <c r="U305" i="1"/>
  <c r="U328" i="1"/>
  <c r="U392" i="1"/>
  <c r="U329" i="1"/>
  <c r="U336" i="1"/>
  <c r="U400" i="1"/>
  <c r="U344" i="1"/>
  <c r="U313" i="1"/>
  <c r="U304" i="1"/>
  <c r="U368" i="1"/>
  <c r="U361" i="1"/>
  <c r="U312" i="1"/>
  <c r="U376" i="1"/>
  <c r="U345" i="1"/>
  <c r="U337" i="1"/>
  <c r="U321" i="1"/>
  <c r="U352" i="1"/>
  <c r="U320" i="1"/>
  <c r="U384" i="1"/>
  <c r="N9" i="6"/>
  <c r="Q57" i="1" l="1"/>
  <c r="Q116" i="1"/>
  <c r="R95" i="1"/>
  <c r="U95" i="1" s="1"/>
  <c r="Q276" i="1"/>
  <c r="R31" i="1"/>
  <c r="U31" i="1" s="1"/>
  <c r="R120" i="1"/>
  <c r="U120" i="1" s="1"/>
  <c r="R25" i="1"/>
  <c r="R104" i="1"/>
  <c r="U104" i="1" s="1"/>
  <c r="S87" i="1"/>
  <c r="R40" i="1"/>
  <c r="U40" i="1" s="1"/>
  <c r="R127" i="1"/>
  <c r="U127" i="1" s="1"/>
  <c r="R48" i="1"/>
  <c r="U48" i="1" s="1"/>
  <c r="Q104" i="1"/>
  <c r="S84" i="1"/>
  <c r="Q47" i="1"/>
  <c r="Q212" i="1"/>
  <c r="Q15" i="1"/>
  <c r="U15" i="1" s="1"/>
  <c r="R242" i="1"/>
  <c r="R217" i="1"/>
  <c r="U217" i="1" s="1"/>
  <c r="Q91" i="1"/>
  <c r="U91" i="1" s="1"/>
  <c r="S119" i="1"/>
  <c r="U119" i="1" s="1"/>
  <c r="S173" i="1"/>
  <c r="Q188" i="1"/>
  <c r="S77" i="1"/>
  <c r="U77" i="1" s="1"/>
  <c r="Q242" i="1"/>
  <c r="R73" i="1"/>
  <c r="U73" i="1" s="1"/>
  <c r="S203" i="1"/>
  <c r="U203" i="1" s="1"/>
  <c r="R32" i="1"/>
  <c r="Q27" i="1"/>
  <c r="Q55" i="1"/>
  <c r="U55" i="1" s="1"/>
  <c r="S23" i="1"/>
  <c r="Q147" i="1"/>
  <c r="R269" i="1"/>
  <c r="U269" i="1" s="1"/>
  <c r="R72" i="1"/>
  <c r="U72" i="1" s="1"/>
  <c r="R92" i="1"/>
  <c r="U92" i="1" s="1"/>
  <c r="Q87" i="1"/>
  <c r="Q186" i="1"/>
  <c r="S147" i="1"/>
  <c r="U147" i="1" s="1"/>
  <c r="R124" i="1"/>
  <c r="U124" i="1" s="1"/>
  <c r="Q60" i="1"/>
  <c r="S57" i="1"/>
  <c r="U57" i="1" s="1"/>
  <c r="Q45" i="1"/>
  <c r="Q52" i="1"/>
  <c r="R220" i="1"/>
  <c r="U220" i="1" s="1"/>
  <c r="Q205" i="1"/>
  <c r="R173" i="1"/>
  <c r="U173" i="1" s="1"/>
  <c r="Q89" i="1"/>
  <c r="S186" i="1"/>
  <c r="S156" i="1"/>
  <c r="R121" i="1"/>
  <c r="U121" i="1" s="1"/>
  <c r="S284" i="1"/>
  <c r="U284" i="1" s="1"/>
  <c r="Q35" i="1"/>
  <c r="S42" i="1"/>
  <c r="R35" i="1"/>
  <c r="U35" i="1" s="1"/>
  <c r="R56" i="1"/>
  <c r="U56" i="1" s="1"/>
  <c r="R252" i="1"/>
  <c r="U252" i="1" s="1"/>
  <c r="R156" i="1"/>
  <c r="S205" i="1"/>
  <c r="R42" i="1"/>
  <c r="Q23" i="1"/>
  <c r="S74" i="1"/>
  <c r="U74" i="1" s="1"/>
  <c r="Q237" i="1"/>
  <c r="S25" i="1"/>
  <c r="Q203" i="1"/>
  <c r="S158" i="1"/>
  <c r="S229" i="1"/>
  <c r="R79" i="1"/>
  <c r="Q107" i="1"/>
  <c r="R218" i="1"/>
  <c r="S226" i="1"/>
  <c r="Q113" i="1"/>
  <c r="S81" i="1"/>
  <c r="R16" i="1"/>
  <c r="U16" i="1" s="1"/>
  <c r="R101" i="1"/>
  <c r="R243" i="1"/>
  <c r="S191" i="1"/>
  <c r="Q222" i="1"/>
  <c r="Q20" i="1"/>
  <c r="Q96" i="1"/>
  <c r="Q146" i="1"/>
  <c r="R52" i="1"/>
  <c r="U52" i="1" s="1"/>
  <c r="S255" i="1"/>
  <c r="Q180" i="1"/>
  <c r="S126" i="1"/>
  <c r="Q66" i="1"/>
  <c r="S75" i="1"/>
  <c r="Q32" i="1"/>
  <c r="S197" i="1"/>
  <c r="U197" i="1" s="1"/>
  <c r="Q286" i="1"/>
  <c r="U123" i="1"/>
  <c r="Q148" i="1"/>
  <c r="R84" i="1"/>
  <c r="U61" i="1"/>
  <c r="U125" i="1"/>
  <c r="U90" i="1"/>
  <c r="U132" i="1"/>
  <c r="U102" i="1"/>
  <c r="U151" i="1"/>
  <c r="U258" i="1"/>
  <c r="S148" i="1"/>
  <c r="U148" i="1" s="1"/>
  <c r="Q195" i="1"/>
  <c r="R47" i="1"/>
  <c r="U47" i="1" s="1"/>
  <c r="R69" i="1"/>
  <c r="Q193" i="1"/>
  <c r="S254" i="1"/>
  <c r="R62" i="1"/>
  <c r="S34" i="1"/>
  <c r="S37" i="1"/>
  <c r="Q69" i="1"/>
  <c r="R224" i="1"/>
  <c r="R255" i="1"/>
  <c r="R222" i="1"/>
  <c r="U266" i="1"/>
  <c r="Q224" i="1"/>
  <c r="S131" i="1"/>
  <c r="S243" i="1"/>
  <c r="S282" i="1"/>
  <c r="S170" i="1"/>
  <c r="R126" i="1"/>
  <c r="R251" i="1"/>
  <c r="R75" i="1"/>
  <c r="Q98" i="1"/>
  <c r="R254" i="1"/>
  <c r="R191" i="1"/>
  <c r="R180" i="1"/>
  <c r="U180" i="1" s="1"/>
  <c r="S257" i="1"/>
  <c r="Q226" i="1"/>
  <c r="R137" i="1"/>
  <c r="Q49" i="1"/>
  <c r="R160" i="1"/>
  <c r="R171" i="1"/>
  <c r="Q111" i="1"/>
  <c r="Q288" i="1"/>
  <c r="S287" i="1"/>
  <c r="Q79" i="1"/>
  <c r="Q244" i="1"/>
  <c r="R64" i="1"/>
  <c r="R223" i="1"/>
  <c r="Q229" i="1"/>
  <c r="S201" i="1"/>
  <c r="U201" i="1" s="1"/>
  <c r="Q81" i="1"/>
  <c r="Q64" i="1"/>
  <c r="Q16" i="1"/>
  <c r="Q160" i="1"/>
  <c r="Q37" i="1"/>
  <c r="Q94" i="1"/>
  <c r="S244" i="1"/>
  <c r="S66" i="1"/>
  <c r="S101" i="1"/>
  <c r="R30" i="1"/>
  <c r="S133" i="1"/>
  <c r="R276" i="1"/>
  <c r="U276" i="1" s="1"/>
  <c r="R111" i="1"/>
  <c r="R96" i="1"/>
  <c r="Q30" i="1"/>
  <c r="S261" i="1"/>
  <c r="U261" i="1" s="1"/>
  <c r="Q128" i="1"/>
  <c r="R190" i="1"/>
  <c r="R193" i="1"/>
  <c r="Q171" i="1"/>
  <c r="S251" i="1"/>
  <c r="Q265" i="1"/>
  <c r="S190" i="1"/>
  <c r="R170" i="1"/>
  <c r="R113" i="1"/>
  <c r="U113" i="1" s="1"/>
  <c r="R192" i="1"/>
  <c r="R159" i="1"/>
  <c r="S94" i="1"/>
  <c r="R107" i="1"/>
  <c r="R257" i="1"/>
  <c r="Q165" i="1"/>
  <c r="Q261" i="1"/>
  <c r="S218" i="1"/>
  <c r="R256" i="1"/>
  <c r="S223" i="1"/>
  <c r="Q133" i="1"/>
  <c r="S212" i="1"/>
  <c r="S116" i="1"/>
  <c r="U116" i="1" s="1"/>
  <c r="R146" i="1"/>
  <c r="U146" i="1" s="1"/>
  <c r="Q282" i="1"/>
  <c r="R265" i="1"/>
  <c r="R128" i="1"/>
  <c r="R27" i="1"/>
  <c r="U27" i="1" s="1"/>
  <c r="S137" i="1"/>
  <c r="S286" i="1"/>
  <c r="S159" i="1"/>
  <c r="R288" i="1"/>
  <c r="S49" i="1"/>
  <c r="R195" i="1"/>
  <c r="Q34" i="1"/>
  <c r="Q158" i="1"/>
  <c r="R165" i="1"/>
  <c r="Q131" i="1"/>
  <c r="S20" i="1"/>
  <c r="S98" i="1"/>
  <c r="U98" i="1" s="1"/>
  <c r="S62" i="1"/>
  <c r="R287" i="1"/>
  <c r="Q256" i="1"/>
  <c r="Q192" i="1"/>
  <c r="S17" i="1"/>
  <c r="U17" i="1" s="1"/>
  <c r="O2" i="1"/>
  <c r="N2" i="1"/>
  <c r="O27" i="6"/>
  <c r="O23" i="6"/>
  <c r="O12" i="6" s="1"/>
  <c r="P12" i="6" s="1"/>
  <c r="P7" i="6" s="1"/>
  <c r="N28" i="6"/>
  <c r="U45" i="1"/>
  <c r="U239" i="1"/>
  <c r="U140" i="1"/>
  <c r="U68" i="1"/>
  <c r="U41" i="1"/>
  <c r="U19" i="1"/>
  <c r="U105" i="1"/>
  <c r="U177" i="1"/>
  <c r="U106" i="1"/>
  <c r="U249" i="1"/>
  <c r="N14" i="6"/>
  <c r="U169" i="1"/>
  <c r="U28" i="1"/>
  <c r="U260" i="1"/>
  <c r="U162" i="1"/>
  <c r="U33" i="1"/>
  <c r="U277" i="1"/>
  <c r="U21" i="1"/>
  <c r="U115" i="1"/>
  <c r="U53" i="1"/>
  <c r="U250" i="1"/>
  <c r="U100" i="1"/>
  <c r="U179" i="1"/>
  <c r="U230" i="1"/>
  <c r="U63" i="1"/>
  <c r="U141" i="1"/>
  <c r="U144" i="1"/>
  <c r="U213" i="1"/>
  <c r="U136" i="1"/>
  <c r="U232" i="1"/>
  <c r="U206" i="1"/>
  <c r="U181" i="1"/>
  <c r="U246" i="1"/>
  <c r="U214" i="1"/>
  <c r="U99" i="1"/>
  <c r="U93" i="1"/>
  <c r="U283" i="1"/>
  <c r="U153" i="1"/>
  <c r="U234" i="1"/>
  <c r="U279" i="1"/>
  <c r="U278" i="1"/>
  <c r="U43" i="1"/>
  <c r="U166" i="1"/>
  <c r="U209" i="1"/>
  <c r="U50" i="1"/>
  <c r="U149" i="1"/>
  <c r="U59" i="1"/>
  <c r="U238" i="1"/>
  <c r="U227" i="1"/>
  <c r="U86" i="1"/>
  <c r="U237" i="1"/>
  <c r="U26" i="1"/>
  <c r="U145" i="1"/>
  <c r="U70" i="1"/>
  <c r="U122" i="1"/>
  <c r="U129" i="1"/>
  <c r="U275" i="1"/>
  <c r="U172" i="1"/>
  <c r="U114" i="1"/>
  <c r="U134" i="1"/>
  <c r="U138" i="1"/>
  <c r="U200" i="1"/>
  <c r="U228" i="1"/>
  <c r="U143" i="1"/>
  <c r="U67" i="1"/>
  <c r="U236" i="1"/>
  <c r="U54" i="1"/>
  <c r="U164" i="1"/>
  <c r="U221" i="1"/>
  <c r="U247" i="1"/>
  <c r="U85" i="1"/>
  <c r="U219" i="1"/>
  <c r="U273" i="1"/>
  <c r="U83" i="1"/>
  <c r="U225" i="1"/>
  <c r="U44" i="1"/>
  <c r="U182" i="1"/>
  <c r="U196" i="1"/>
  <c r="U189" i="1"/>
  <c r="U231" i="1"/>
  <c r="U167" i="1"/>
  <c r="U71" i="1"/>
  <c r="U36" i="1"/>
  <c r="U51" i="1"/>
  <c r="U285" i="1"/>
  <c r="U22" i="1"/>
  <c r="U58" i="1"/>
  <c r="U233" i="1"/>
  <c r="U142" i="1"/>
  <c r="U29" i="1"/>
  <c r="U178" i="1"/>
  <c r="U176" i="1"/>
  <c r="U248" i="1"/>
  <c r="U76" i="1"/>
  <c r="U108" i="1"/>
  <c r="U24" i="1"/>
  <c r="U88" i="1"/>
  <c r="U253" i="1"/>
  <c r="U245" i="1"/>
  <c r="U272" i="1"/>
  <c r="U89" i="1"/>
  <c r="U117" i="1"/>
  <c r="P8" i="1"/>
  <c r="P5" i="1"/>
  <c r="U262" i="1"/>
  <c r="U270" i="1"/>
  <c r="U280" i="1"/>
  <c r="U80" i="1"/>
  <c r="U82" i="1"/>
  <c r="U65" i="1"/>
  <c r="U135" i="1"/>
  <c r="U38" i="1"/>
  <c r="U139" i="1"/>
  <c r="U112" i="1"/>
  <c r="P4" i="1"/>
  <c r="U152" i="1"/>
  <c r="U215" i="1"/>
  <c r="U130" i="1"/>
  <c r="U194" i="1"/>
  <c r="U202" i="1"/>
  <c r="U208" i="1"/>
  <c r="U175" i="1"/>
  <c r="U118" i="1"/>
  <c r="U289" i="1"/>
  <c r="U204" i="1"/>
  <c r="U46" i="1"/>
  <c r="U188" i="1"/>
  <c r="U240" i="1"/>
  <c r="U241" i="1"/>
  <c r="U109" i="1"/>
  <c r="U78" i="1"/>
  <c r="P11" i="1"/>
  <c r="T11" i="1" s="1"/>
  <c r="U198" i="1"/>
  <c r="U267" i="1"/>
  <c r="U216" i="1"/>
  <c r="U150" i="1"/>
  <c r="U163" i="1"/>
  <c r="U271" i="1"/>
  <c r="U281" i="1"/>
  <c r="U264" i="1"/>
  <c r="U174" i="1"/>
  <c r="U110" i="1"/>
  <c r="U263" i="1"/>
  <c r="U187" i="1"/>
  <c r="U154" i="1"/>
  <c r="U207" i="1"/>
  <c r="U199" i="1"/>
  <c r="U60" i="1"/>
  <c r="U274" i="1"/>
  <c r="U97" i="1"/>
  <c r="U168" i="1"/>
  <c r="U259" i="1"/>
  <c r="U268" i="1"/>
  <c r="U185" i="1"/>
  <c r="U184" i="1"/>
  <c r="P6" i="1"/>
  <c r="U211" i="1"/>
  <c r="P14" i="1"/>
  <c r="Q14" i="1" s="1"/>
  <c r="U157" i="1"/>
  <c r="U235" i="1"/>
  <c r="U161" i="1"/>
  <c r="U103" i="1"/>
  <c r="U39" i="1"/>
  <c r="U210" i="1"/>
  <c r="U155" i="1"/>
  <c r="U183" i="1"/>
  <c r="S18" i="1"/>
  <c r="R18" i="1"/>
  <c r="Q18" i="1"/>
  <c r="O9" i="6"/>
  <c r="P7" i="1"/>
  <c r="P13" i="1"/>
  <c r="O10" i="1"/>
  <c r="N10" i="1"/>
  <c r="P12" i="1"/>
  <c r="O9" i="1"/>
  <c r="N9" i="1"/>
  <c r="O3" i="1"/>
  <c r="N4" i="6"/>
  <c r="P4" i="6" s="1"/>
  <c r="Q401" i="2"/>
  <c r="U126" i="1" l="1"/>
  <c r="U25" i="1"/>
  <c r="U101" i="1"/>
  <c r="U137" i="1"/>
  <c r="U42" i="1"/>
  <c r="U255" i="1"/>
  <c r="U243" i="1"/>
  <c r="U192" i="1"/>
  <c r="U156" i="1"/>
  <c r="U205" i="1"/>
  <c r="U229" i="1"/>
  <c r="U286" i="1"/>
  <c r="U87" i="1"/>
  <c r="U256" i="1"/>
  <c r="U133" i="1"/>
  <c r="U79" i="1"/>
  <c r="U158" i="1"/>
  <c r="U193" i="1"/>
  <c r="U226" i="1"/>
  <c r="U66" i="1"/>
  <c r="U222" i="1"/>
  <c r="U186" i="1"/>
  <c r="U244" i="1"/>
  <c r="U171" i="1"/>
  <c r="U34" i="1"/>
  <c r="U84" i="1"/>
  <c r="U191" i="1"/>
  <c r="U107" i="1"/>
  <c r="U23" i="1"/>
  <c r="U20" i="1"/>
  <c r="U159" i="1"/>
  <c r="U257" i="1"/>
  <c r="U94" i="1"/>
  <c r="U160" i="1"/>
  <c r="U62" i="1"/>
  <c r="U251" i="1"/>
  <c r="U242" i="1"/>
  <c r="U212" i="1"/>
  <c r="U64" i="1"/>
  <c r="U223" i="1"/>
  <c r="U265" i="1"/>
  <c r="U218" i="1"/>
  <c r="U81" i="1"/>
  <c r="U69" i="1"/>
  <c r="U32" i="1"/>
  <c r="U96" i="1"/>
  <c r="U75" i="1"/>
  <c r="U170" i="1"/>
  <c r="U224" i="1"/>
  <c r="U287" i="1"/>
  <c r="U128" i="1"/>
  <c r="U165" i="1"/>
  <c r="U190" i="1"/>
  <c r="U30" i="1"/>
  <c r="U288" i="1"/>
  <c r="U282" i="1"/>
  <c r="U195" i="1"/>
  <c r="U131" i="1"/>
  <c r="U111" i="1"/>
  <c r="U37" i="1"/>
  <c r="U49" i="1"/>
  <c r="U254" i="1"/>
  <c r="O13" i="6"/>
  <c r="P13" i="6" s="1"/>
  <c r="P2" i="1"/>
  <c r="R2" i="1" s="1"/>
  <c r="T4" i="1"/>
  <c r="Q6" i="1"/>
  <c r="S6" i="1"/>
  <c r="S14" i="1"/>
  <c r="P3" i="1"/>
  <c r="R6" i="1"/>
  <c r="Q4" i="1"/>
  <c r="S4" i="1"/>
  <c r="R4" i="1"/>
  <c r="R14" i="1"/>
  <c r="R11" i="1"/>
  <c r="Q11" i="1"/>
  <c r="S11" i="1"/>
  <c r="U18" i="1"/>
  <c r="P10" i="1"/>
  <c r="P9" i="1"/>
  <c r="Q13" i="1"/>
  <c r="R13" i="1"/>
  <c r="S13" i="1"/>
  <c r="T13" i="1"/>
  <c r="R12" i="1"/>
  <c r="Q12" i="1"/>
  <c r="T12" i="1"/>
  <c r="S12" i="1"/>
  <c r="Q7" i="1"/>
  <c r="S7" i="1"/>
  <c r="R7" i="1"/>
  <c r="S8" i="1"/>
  <c r="S5" i="1"/>
  <c r="N401" i="1"/>
  <c r="Q3" i="1" l="1"/>
  <c r="P8" i="6"/>
  <c r="P14" i="6"/>
  <c r="P9" i="6" s="1"/>
  <c r="T2" i="1"/>
  <c r="Q2" i="1"/>
  <c r="S2" i="1"/>
  <c r="S3" i="1"/>
  <c r="R3" i="1"/>
  <c r="U4" i="1"/>
  <c r="U14" i="1"/>
  <c r="U11" i="1"/>
  <c r="U7" i="1"/>
  <c r="Q9" i="1"/>
  <c r="S9" i="1"/>
  <c r="R9" i="1"/>
  <c r="T9" i="1"/>
  <c r="U12" i="1"/>
  <c r="U13" i="1"/>
  <c r="Q10" i="1"/>
  <c r="S10" i="1"/>
  <c r="R10" i="1"/>
  <c r="Q8" i="1"/>
  <c r="R8" i="1"/>
  <c r="R5" i="1"/>
  <c r="Q5" i="1"/>
  <c r="P401" i="1"/>
  <c r="T6" i="1"/>
  <c r="T5" i="1"/>
  <c r="G401" i="2"/>
  <c r="AH331" i="7"/>
  <c r="AF331" i="7"/>
  <c r="AE331" i="7"/>
  <c r="AI331" i="7" s="1"/>
  <c r="AE330" i="7"/>
  <c r="AH329" i="7"/>
  <c r="AG329" i="7"/>
  <c r="AF329" i="7"/>
  <c r="AE329" i="7"/>
  <c r="AI329" i="7" s="1"/>
  <c r="AE328" i="7"/>
  <c r="AI327" i="7"/>
  <c r="AH327" i="7"/>
  <c r="AG327" i="7"/>
  <c r="AE327" i="7"/>
  <c r="AF327" i="7" s="1"/>
  <c r="AI326" i="7"/>
  <c r="AG326" i="7"/>
  <c r="AE326" i="7"/>
  <c r="AF326" i="7" s="1"/>
  <c r="AI325" i="7"/>
  <c r="AG325" i="7"/>
  <c r="AF325" i="7"/>
  <c r="AE325" i="7"/>
  <c r="AH325" i="7" s="1"/>
  <c r="AI324" i="7"/>
  <c r="AH324" i="7"/>
  <c r="AG324" i="7"/>
  <c r="AF324" i="7"/>
  <c r="AE324" i="7"/>
  <c r="AH323" i="7"/>
  <c r="AF323" i="7"/>
  <c r="AE323" i="7"/>
  <c r="AI323" i="7" s="1"/>
  <c r="AE322" i="7"/>
  <c r="AH321" i="7"/>
  <c r="AG321" i="7"/>
  <c r="AF321" i="7"/>
  <c r="AE321" i="7"/>
  <c r="AI321" i="7" s="1"/>
  <c r="AE320" i="7"/>
  <c r="AI319" i="7"/>
  <c r="AH319" i="7"/>
  <c r="AG319" i="7"/>
  <c r="AE319" i="7"/>
  <c r="AF319" i="7" s="1"/>
  <c r="AI318" i="7"/>
  <c r="AG318" i="7"/>
  <c r="AE318" i="7"/>
  <c r="AF318" i="7" s="1"/>
  <c r="AI317" i="7"/>
  <c r="AG317" i="7"/>
  <c r="AF317" i="7"/>
  <c r="AE317" i="7"/>
  <c r="AH317" i="7" s="1"/>
  <c r="AI316" i="7"/>
  <c r="AH316" i="7"/>
  <c r="AG316" i="7"/>
  <c r="AF316" i="7"/>
  <c r="AE316" i="7"/>
  <c r="AH315" i="7"/>
  <c r="AF315" i="7"/>
  <c r="AE315" i="7"/>
  <c r="AI315" i="7" s="1"/>
  <c r="AE314" i="7"/>
  <c r="AH313" i="7"/>
  <c r="AF313" i="7"/>
  <c r="AE313" i="7"/>
  <c r="AG313" i="7" s="1"/>
  <c r="AE312" i="7"/>
  <c r="AI311" i="7"/>
  <c r="AH311" i="7"/>
  <c r="AG311" i="7"/>
  <c r="AE311" i="7"/>
  <c r="AF311" i="7" s="1"/>
  <c r="AI310" i="7"/>
  <c r="AG310" i="7"/>
  <c r="AE310" i="7"/>
  <c r="AF310" i="7" s="1"/>
  <c r="AI309" i="7"/>
  <c r="AF309" i="7"/>
  <c r="AE309" i="7"/>
  <c r="AH309" i="7" s="1"/>
  <c r="AI308" i="7"/>
  <c r="AH308" i="7"/>
  <c r="AG308" i="7"/>
  <c r="AF308" i="7"/>
  <c r="AE308" i="7"/>
  <c r="AH307" i="7"/>
  <c r="AF307" i="7"/>
  <c r="AE307" i="7"/>
  <c r="AI307" i="7" s="1"/>
  <c r="AI306" i="7"/>
  <c r="AE306" i="7"/>
  <c r="AH305" i="7"/>
  <c r="AF305" i="7"/>
  <c r="AE305" i="7"/>
  <c r="AG305" i="7" s="1"/>
  <c r="AE304" i="7"/>
  <c r="AI303" i="7"/>
  <c r="AH303" i="7"/>
  <c r="AG303" i="7"/>
  <c r="AE303" i="7"/>
  <c r="AF303" i="7" s="1"/>
  <c r="AE302" i="7"/>
  <c r="AI301" i="7"/>
  <c r="AF301" i="7"/>
  <c r="AE301" i="7"/>
  <c r="AH301" i="7" s="1"/>
  <c r="AI300" i="7"/>
  <c r="AH300" i="7"/>
  <c r="AG300" i="7"/>
  <c r="AF300" i="7"/>
  <c r="AE300" i="7"/>
  <c r="AH299" i="7"/>
  <c r="AF299" i="7"/>
  <c r="AE299" i="7"/>
  <c r="AI299" i="7" s="1"/>
  <c r="AI298" i="7"/>
  <c r="AE298" i="7"/>
  <c r="AH297" i="7"/>
  <c r="AF297" i="7"/>
  <c r="AE297" i="7"/>
  <c r="AG297" i="7" s="1"/>
  <c r="AG296" i="7"/>
  <c r="AE296" i="7"/>
  <c r="AI295" i="7"/>
  <c r="AH295" i="7"/>
  <c r="AG295" i="7"/>
  <c r="AE295" i="7"/>
  <c r="AF295" i="7" s="1"/>
  <c r="AE294" i="7"/>
  <c r="AI293" i="7"/>
  <c r="AF293" i="7"/>
  <c r="AE293" i="7"/>
  <c r="AH293" i="7" s="1"/>
  <c r="AI292" i="7"/>
  <c r="AH292" i="7"/>
  <c r="AG292" i="7"/>
  <c r="AF292" i="7"/>
  <c r="AE292" i="7"/>
  <c r="AH291" i="7"/>
  <c r="AF291" i="7"/>
  <c r="AE291" i="7"/>
  <c r="AI291" i="7" s="1"/>
  <c r="AE290" i="7"/>
  <c r="AH289" i="7"/>
  <c r="AF289" i="7"/>
  <c r="AE289" i="7"/>
  <c r="AG289" i="7" s="1"/>
  <c r="AG288" i="7"/>
  <c r="AE288" i="7"/>
  <c r="AI287" i="7"/>
  <c r="AH287" i="7"/>
  <c r="AG287" i="7"/>
  <c r="AE287" i="7"/>
  <c r="AF287" i="7" s="1"/>
  <c r="AE286" i="7"/>
  <c r="AI285" i="7"/>
  <c r="AF285" i="7"/>
  <c r="AE285" i="7"/>
  <c r="AH285" i="7" s="1"/>
  <c r="AI284" i="7"/>
  <c r="AH284" i="7"/>
  <c r="AG284" i="7"/>
  <c r="AF284" i="7"/>
  <c r="AE284" i="7"/>
  <c r="AH283" i="7"/>
  <c r="AF283" i="7"/>
  <c r="AE283" i="7"/>
  <c r="AI283" i="7" s="1"/>
  <c r="AI282" i="7"/>
  <c r="AE282" i="7"/>
  <c r="AH281" i="7"/>
  <c r="AF281" i="7"/>
  <c r="AE281" i="7"/>
  <c r="AG281" i="7" s="1"/>
  <c r="AG280" i="7"/>
  <c r="AE280" i="7"/>
  <c r="AI279" i="7"/>
  <c r="AH279" i="7"/>
  <c r="AG279" i="7"/>
  <c r="AE279" i="7"/>
  <c r="AF279" i="7" s="1"/>
  <c r="AI278" i="7"/>
  <c r="AG278" i="7"/>
  <c r="AE278" i="7"/>
  <c r="AI277" i="7"/>
  <c r="AF277" i="7"/>
  <c r="AE277" i="7"/>
  <c r="AH277" i="7" s="1"/>
  <c r="AI276" i="7"/>
  <c r="AG276" i="7"/>
  <c r="AF276" i="7"/>
  <c r="AE276" i="7"/>
  <c r="AH276" i="7" s="1"/>
  <c r="AH275" i="7"/>
  <c r="AF275" i="7"/>
  <c r="AE275" i="7"/>
  <c r="AI275" i="7" s="1"/>
  <c r="AI274" i="7"/>
  <c r="AE274" i="7"/>
  <c r="AH273" i="7"/>
  <c r="AF273" i="7"/>
  <c r="AE273" i="7"/>
  <c r="AG273" i="7" s="1"/>
  <c r="AG272" i="7"/>
  <c r="AE272" i="7"/>
  <c r="AH271" i="7"/>
  <c r="AG271" i="7"/>
  <c r="AE271" i="7"/>
  <c r="AI271" i="7" s="1"/>
  <c r="AG270" i="7"/>
  <c r="AE270" i="7"/>
  <c r="AF269" i="7"/>
  <c r="AE269" i="7"/>
  <c r="AI269" i="7" s="1"/>
  <c r="AI268" i="7"/>
  <c r="AG268" i="7"/>
  <c r="AF268" i="7"/>
  <c r="AE268" i="7"/>
  <c r="AH268" i="7" s="1"/>
  <c r="AH267" i="7"/>
  <c r="AF267" i="7"/>
  <c r="AE267" i="7"/>
  <c r="AI267" i="7" s="1"/>
  <c r="AE266" i="7"/>
  <c r="AH265" i="7"/>
  <c r="AF265" i="7"/>
  <c r="AE265" i="7"/>
  <c r="AG265" i="7" s="1"/>
  <c r="AE264" i="7"/>
  <c r="AH263" i="7"/>
  <c r="AE263" i="7"/>
  <c r="AI263" i="7" s="1"/>
  <c r="AE262" i="7"/>
  <c r="AF261" i="7"/>
  <c r="AE261" i="7"/>
  <c r="AI261" i="7" s="1"/>
  <c r="AI260" i="7"/>
  <c r="AG260" i="7"/>
  <c r="AE260" i="7"/>
  <c r="AH260" i="7" s="1"/>
  <c r="AI259" i="7"/>
  <c r="AH259" i="7"/>
  <c r="AF259" i="7"/>
  <c r="AE259" i="7"/>
  <c r="AG259" i="7" s="1"/>
  <c r="AI258" i="7"/>
  <c r="AF258" i="7"/>
  <c r="AE258" i="7"/>
  <c r="AH257" i="7"/>
  <c r="AF257" i="7"/>
  <c r="AE257" i="7"/>
  <c r="AG257" i="7" s="1"/>
  <c r="AE256" i="7"/>
  <c r="AH255" i="7"/>
  <c r="AE255" i="7"/>
  <c r="AE254" i="7"/>
  <c r="AG253" i="7"/>
  <c r="AF253" i="7"/>
  <c r="AE253" i="7"/>
  <c r="AI253" i="7" s="1"/>
  <c r="AI252" i="7"/>
  <c r="AG252" i="7"/>
  <c r="AE252" i="7"/>
  <c r="AH252" i="7" s="1"/>
  <c r="AI251" i="7"/>
  <c r="AH251" i="7"/>
  <c r="AF251" i="7"/>
  <c r="AE251" i="7"/>
  <c r="AG251" i="7" s="1"/>
  <c r="AI250" i="7"/>
  <c r="AF250" i="7"/>
  <c r="AE250" i="7"/>
  <c r="AH249" i="7"/>
  <c r="AF249" i="7"/>
  <c r="AE249" i="7"/>
  <c r="AG249" i="7" s="1"/>
  <c r="AE248" i="7"/>
  <c r="AH247" i="7"/>
  <c r="AE247" i="7"/>
  <c r="AE246" i="7"/>
  <c r="AG245" i="7"/>
  <c r="AF245" i="7"/>
  <c r="AE245" i="7"/>
  <c r="AI245" i="7" s="1"/>
  <c r="AI244" i="7"/>
  <c r="AG244" i="7"/>
  <c r="AE244" i="7"/>
  <c r="AH244" i="7" s="1"/>
  <c r="AI243" i="7"/>
  <c r="AH243" i="7"/>
  <c r="AF243" i="7"/>
  <c r="AE243" i="7"/>
  <c r="AG243" i="7" s="1"/>
  <c r="AI242" i="7"/>
  <c r="AF242" i="7"/>
  <c r="AE242" i="7"/>
  <c r="AH241" i="7"/>
  <c r="AF241" i="7"/>
  <c r="AE241" i="7"/>
  <c r="AG241" i="7" s="1"/>
  <c r="AE240" i="7"/>
  <c r="AH239" i="7"/>
  <c r="AE239" i="7"/>
  <c r="AE238" i="7"/>
  <c r="AG237" i="7"/>
  <c r="AF237" i="7"/>
  <c r="AE237" i="7"/>
  <c r="AI237" i="7" s="1"/>
  <c r="AI236" i="7"/>
  <c r="AG236" i="7"/>
  <c r="AE236" i="7"/>
  <c r="AH236" i="7" s="1"/>
  <c r="AI235" i="7"/>
  <c r="AH235" i="7"/>
  <c r="AF235" i="7"/>
  <c r="AE235" i="7"/>
  <c r="AG235" i="7" s="1"/>
  <c r="AI234" i="7"/>
  <c r="AF234" i="7"/>
  <c r="AE234" i="7"/>
  <c r="AH233" i="7"/>
  <c r="AF233" i="7"/>
  <c r="AE233" i="7"/>
  <c r="AG233" i="7" s="1"/>
  <c r="AE232" i="7"/>
  <c r="AH231" i="7"/>
  <c r="AE231" i="7"/>
  <c r="AE230" i="7"/>
  <c r="AG229" i="7"/>
  <c r="AF229" i="7"/>
  <c r="AE229" i="7"/>
  <c r="AI229" i="7" s="1"/>
  <c r="AI228" i="7"/>
  <c r="AG228" i="7"/>
  <c r="AE228" i="7"/>
  <c r="AH228" i="7" s="1"/>
  <c r="AI227" i="7"/>
  <c r="AH227" i="7"/>
  <c r="AF227" i="7"/>
  <c r="AE227" i="7"/>
  <c r="AG227" i="7" s="1"/>
  <c r="AI226" i="7"/>
  <c r="AF226" i="7"/>
  <c r="AE226" i="7"/>
  <c r="AH225" i="7"/>
  <c r="AF225" i="7"/>
  <c r="AE225" i="7"/>
  <c r="AG225" i="7" s="1"/>
  <c r="AE224" i="7"/>
  <c r="AH223" i="7"/>
  <c r="AE223" i="7"/>
  <c r="AE222" i="7"/>
  <c r="AG221" i="7"/>
  <c r="AF221" i="7"/>
  <c r="AE221" i="7"/>
  <c r="AI221" i="7" s="1"/>
  <c r="AI220" i="7"/>
  <c r="AG220" i="7"/>
  <c r="AE220" i="7"/>
  <c r="AH220" i="7" s="1"/>
  <c r="AI219" i="7"/>
  <c r="AH219" i="7"/>
  <c r="AG219" i="7"/>
  <c r="AF219" i="7"/>
  <c r="AE219" i="7"/>
  <c r="AI218" i="7"/>
  <c r="AF218" i="7"/>
  <c r="AE218" i="7"/>
  <c r="AI217" i="7"/>
  <c r="AH217" i="7"/>
  <c r="AF217" i="7"/>
  <c r="AE217" i="7"/>
  <c r="AG217" i="7" s="1"/>
  <c r="AH216" i="7"/>
  <c r="AG216" i="7"/>
  <c r="AE216" i="7"/>
  <c r="AE215" i="7"/>
  <c r="AE214" i="7"/>
  <c r="AG213" i="7"/>
  <c r="AF213" i="7"/>
  <c r="AE213" i="7"/>
  <c r="AI213" i="7" s="1"/>
  <c r="AI212" i="7"/>
  <c r="AG212" i="7"/>
  <c r="AE212" i="7"/>
  <c r="AH212" i="7" s="1"/>
  <c r="AI211" i="7"/>
  <c r="AH211" i="7"/>
  <c r="AG211" i="7"/>
  <c r="AF211" i="7"/>
  <c r="AE211" i="7"/>
  <c r="AE210" i="7"/>
  <c r="AI209" i="7"/>
  <c r="AH209" i="7"/>
  <c r="AF209" i="7"/>
  <c r="AE209" i="7"/>
  <c r="AG209" i="7" s="1"/>
  <c r="AH208" i="7"/>
  <c r="AE208" i="7"/>
  <c r="AE207" i="7"/>
  <c r="AE206" i="7"/>
  <c r="AG205" i="7"/>
  <c r="AF205" i="7"/>
  <c r="AE205" i="7"/>
  <c r="AI205" i="7" s="1"/>
  <c r="AI204" i="7"/>
  <c r="AG204" i="7"/>
  <c r="AE204" i="7"/>
  <c r="AH204" i="7" s="1"/>
  <c r="AI203" i="7"/>
  <c r="AH203" i="7"/>
  <c r="AG203" i="7"/>
  <c r="AF203" i="7"/>
  <c r="AE203" i="7"/>
  <c r="AE202" i="7"/>
  <c r="AI201" i="7"/>
  <c r="AH201" i="7"/>
  <c r="AF201" i="7"/>
  <c r="AE201" i="7"/>
  <c r="AG201" i="7" s="1"/>
  <c r="AE200" i="7"/>
  <c r="AE199" i="7"/>
  <c r="AI198" i="7"/>
  <c r="AG198" i="7"/>
  <c r="AE198" i="7"/>
  <c r="AG197" i="7"/>
  <c r="AF197" i="7"/>
  <c r="AE197" i="7"/>
  <c r="AI197" i="7" s="1"/>
  <c r="AI196" i="7"/>
  <c r="AG196" i="7"/>
  <c r="AE196" i="7"/>
  <c r="AH196" i="7" s="1"/>
  <c r="AI195" i="7"/>
  <c r="AH195" i="7"/>
  <c r="AG195" i="7"/>
  <c r="AF195" i="7"/>
  <c r="AE195" i="7"/>
  <c r="AF194" i="7"/>
  <c r="AE194" i="7"/>
  <c r="AH193" i="7"/>
  <c r="AF193" i="7"/>
  <c r="AE193" i="7"/>
  <c r="AG193" i="7" s="1"/>
  <c r="AE192" i="7"/>
  <c r="AE191" i="7"/>
  <c r="AI190" i="7"/>
  <c r="AE190" i="7"/>
  <c r="AG189" i="7"/>
  <c r="AF189" i="7"/>
  <c r="AE189" i="7"/>
  <c r="AI189" i="7" s="1"/>
  <c r="AI188" i="7"/>
  <c r="AG188" i="7"/>
  <c r="AE188" i="7"/>
  <c r="AH188" i="7" s="1"/>
  <c r="AI187" i="7"/>
  <c r="AH187" i="7"/>
  <c r="AF187" i="7"/>
  <c r="AE187" i="7"/>
  <c r="AG187" i="7" s="1"/>
  <c r="AE186" i="7"/>
  <c r="AH185" i="7"/>
  <c r="AF185" i="7"/>
  <c r="AE185" i="7"/>
  <c r="AG185" i="7" s="1"/>
  <c r="AE184" i="7"/>
  <c r="AH183" i="7"/>
  <c r="AE183" i="7"/>
  <c r="AI182" i="7"/>
  <c r="AE182" i="7"/>
  <c r="AG181" i="7"/>
  <c r="AF181" i="7"/>
  <c r="AE181" i="7"/>
  <c r="AI181" i="7" s="1"/>
  <c r="AI180" i="7"/>
  <c r="AG180" i="7"/>
  <c r="AE180" i="7"/>
  <c r="AH180" i="7" s="1"/>
  <c r="AI179" i="7"/>
  <c r="AH179" i="7"/>
  <c r="AF179" i="7"/>
  <c r="AE179" i="7"/>
  <c r="AG179" i="7" s="1"/>
  <c r="AE178" i="7"/>
  <c r="AH177" i="7"/>
  <c r="AF177" i="7"/>
  <c r="AE177" i="7"/>
  <c r="AG177" i="7" s="1"/>
  <c r="AE176" i="7"/>
  <c r="AE175" i="7"/>
  <c r="AI174" i="7"/>
  <c r="AE174" i="7"/>
  <c r="AG173" i="7"/>
  <c r="AF173" i="7"/>
  <c r="AE173" i="7"/>
  <c r="AI173" i="7" s="1"/>
  <c r="AI172" i="7"/>
  <c r="AG172" i="7"/>
  <c r="AE172" i="7"/>
  <c r="AH172" i="7" s="1"/>
  <c r="AI171" i="7"/>
  <c r="AH171" i="7"/>
  <c r="AF171" i="7"/>
  <c r="AE171" i="7"/>
  <c r="AG171" i="7" s="1"/>
  <c r="AE170" i="7"/>
  <c r="AH169" i="7"/>
  <c r="AF169" i="7"/>
  <c r="AE169" i="7"/>
  <c r="AG169" i="7" s="1"/>
  <c r="AE168" i="7"/>
  <c r="AH167" i="7"/>
  <c r="AE167" i="7"/>
  <c r="AI166" i="7"/>
  <c r="AE166" i="7"/>
  <c r="AG165" i="7"/>
  <c r="AF165" i="7"/>
  <c r="AE165" i="7"/>
  <c r="AI165" i="7" s="1"/>
  <c r="AI164" i="7"/>
  <c r="AG164" i="7"/>
  <c r="AE164" i="7"/>
  <c r="AE163" i="7"/>
  <c r="AI163" i="7" s="1"/>
  <c r="AI162" i="7"/>
  <c r="AH162" i="7"/>
  <c r="AG162" i="7"/>
  <c r="AE162" i="7"/>
  <c r="AF162" i="7" s="1"/>
  <c r="AE161" i="7"/>
  <c r="AF161" i="7" s="1"/>
  <c r="AI160" i="7"/>
  <c r="AE160" i="7"/>
  <c r="AH160" i="7" s="1"/>
  <c r="AH159" i="7"/>
  <c r="AG159" i="7"/>
  <c r="AF159" i="7"/>
  <c r="AE159" i="7"/>
  <c r="AI159" i="7" s="1"/>
  <c r="AE158" i="7"/>
  <c r="AI157" i="7"/>
  <c r="AH157" i="7"/>
  <c r="AE157" i="7"/>
  <c r="AG157" i="7" s="1"/>
  <c r="AG156" i="7"/>
  <c r="AF156" i="7"/>
  <c r="AE156" i="7"/>
  <c r="AI156" i="7" s="1"/>
  <c r="AE155" i="7"/>
  <c r="AI155" i="7" s="1"/>
  <c r="AI154" i="7"/>
  <c r="AH154" i="7"/>
  <c r="AG154" i="7"/>
  <c r="AE154" i="7"/>
  <c r="AF154" i="7" s="1"/>
  <c r="AF153" i="7"/>
  <c r="AE153" i="7"/>
  <c r="AI152" i="7"/>
  <c r="AE152" i="7"/>
  <c r="AH152" i="7" s="1"/>
  <c r="AH151" i="7"/>
  <c r="AG151" i="7"/>
  <c r="AF151" i="7"/>
  <c r="AE151" i="7"/>
  <c r="AI151" i="7" s="1"/>
  <c r="AE150" i="7"/>
  <c r="AI149" i="7"/>
  <c r="AH149" i="7"/>
  <c r="AE149" i="7"/>
  <c r="AG149" i="7" s="1"/>
  <c r="AG148" i="7"/>
  <c r="AF148" i="7"/>
  <c r="AE148" i="7"/>
  <c r="AI148" i="7" s="1"/>
  <c r="AE147" i="7"/>
  <c r="AI147" i="7" s="1"/>
  <c r="AI146" i="7"/>
  <c r="AH146" i="7"/>
  <c r="AG146" i="7"/>
  <c r="AE146" i="7"/>
  <c r="AF146" i="7" s="1"/>
  <c r="AE145" i="7"/>
  <c r="AI144" i="7"/>
  <c r="AE144" i="7"/>
  <c r="AH144" i="7" s="1"/>
  <c r="AH143" i="7"/>
  <c r="AG143" i="7"/>
  <c r="AF143" i="7"/>
  <c r="AE143" i="7"/>
  <c r="AI143" i="7" s="1"/>
  <c r="AE142" i="7"/>
  <c r="AI141" i="7"/>
  <c r="AH141" i="7"/>
  <c r="AE141" i="7"/>
  <c r="AG141" i="7" s="1"/>
  <c r="AG140" i="7"/>
  <c r="AF140" i="7"/>
  <c r="AE140" i="7"/>
  <c r="AI140" i="7" s="1"/>
  <c r="AE139" i="7"/>
  <c r="AI139" i="7" s="1"/>
  <c r="AI138" i="7"/>
  <c r="AH138" i="7"/>
  <c r="AG138" i="7"/>
  <c r="AE138" i="7"/>
  <c r="AF138" i="7" s="1"/>
  <c r="AF137" i="7"/>
  <c r="AE137" i="7"/>
  <c r="AI136" i="7"/>
  <c r="AE136" i="7"/>
  <c r="AH136" i="7" s="1"/>
  <c r="AH135" i="7"/>
  <c r="AG135" i="7"/>
  <c r="AF135" i="7"/>
  <c r="AE135" i="7"/>
  <c r="AI135" i="7" s="1"/>
  <c r="AE134" i="7"/>
  <c r="AI133" i="7"/>
  <c r="AH133" i="7"/>
  <c r="AE133" i="7"/>
  <c r="AG133" i="7" s="1"/>
  <c r="AG132" i="7"/>
  <c r="AF132" i="7"/>
  <c r="AE132" i="7"/>
  <c r="AI132" i="7" s="1"/>
  <c r="AE131" i="7"/>
  <c r="AI131" i="7" s="1"/>
  <c r="AI130" i="7"/>
  <c r="AH130" i="7"/>
  <c r="AG130" i="7"/>
  <c r="AE130" i="7"/>
  <c r="AF130" i="7" s="1"/>
  <c r="AE129" i="7"/>
  <c r="AI128" i="7"/>
  <c r="AE128" i="7"/>
  <c r="AH128" i="7" s="1"/>
  <c r="AH127" i="7"/>
  <c r="AG127" i="7"/>
  <c r="AF127" i="7"/>
  <c r="AE127" i="7"/>
  <c r="AI127" i="7" s="1"/>
  <c r="AE126" i="7"/>
  <c r="AI125" i="7"/>
  <c r="AH125" i="7"/>
  <c r="AE125" i="7"/>
  <c r="AG125" i="7" s="1"/>
  <c r="AG124" i="7"/>
  <c r="AF124" i="7"/>
  <c r="AE124" i="7"/>
  <c r="AI124" i="7" s="1"/>
  <c r="AE123" i="7"/>
  <c r="AI123" i="7" s="1"/>
  <c r="AI122" i="7"/>
  <c r="AH122" i="7"/>
  <c r="AG122" i="7"/>
  <c r="AE122" i="7"/>
  <c r="AF122" i="7" s="1"/>
  <c r="AF121" i="7"/>
  <c r="AE121" i="7"/>
  <c r="AI120" i="7"/>
  <c r="AE120" i="7"/>
  <c r="AH120" i="7" s="1"/>
  <c r="AH119" i="7"/>
  <c r="AG119" i="7"/>
  <c r="AF119" i="7"/>
  <c r="AE119" i="7"/>
  <c r="AI119" i="7" s="1"/>
  <c r="AE118" i="7"/>
  <c r="AI117" i="7"/>
  <c r="AH117" i="7"/>
  <c r="AE117" i="7"/>
  <c r="AG117" i="7" s="1"/>
  <c r="AG116" i="7"/>
  <c r="AF116" i="7"/>
  <c r="AE116" i="7"/>
  <c r="AI116" i="7" s="1"/>
  <c r="AE115" i="7"/>
  <c r="AI115" i="7" s="1"/>
  <c r="AI114" i="7"/>
  <c r="AH114" i="7"/>
  <c r="AG114" i="7"/>
  <c r="AE114" i="7"/>
  <c r="AF114" i="7" s="1"/>
  <c r="AE113" i="7"/>
  <c r="AI112" i="7"/>
  <c r="AE112" i="7"/>
  <c r="AH112" i="7" s="1"/>
  <c r="AH111" i="7"/>
  <c r="AG111" i="7"/>
  <c r="AF111" i="7"/>
  <c r="AE111" i="7"/>
  <c r="AI111" i="7" s="1"/>
  <c r="AE110" i="7"/>
  <c r="AI109" i="7"/>
  <c r="AH109" i="7"/>
  <c r="AE109" i="7"/>
  <c r="AG109" i="7" s="1"/>
  <c r="AG108" i="7"/>
  <c r="AF108" i="7"/>
  <c r="AE108" i="7"/>
  <c r="AI108" i="7" s="1"/>
  <c r="AE107" i="7"/>
  <c r="AI107" i="7" s="1"/>
  <c r="AI106" i="7"/>
  <c r="AH106" i="7"/>
  <c r="AG106" i="7"/>
  <c r="AE106" i="7"/>
  <c r="AF106" i="7" s="1"/>
  <c r="AF105" i="7"/>
  <c r="AE105" i="7"/>
  <c r="AI104" i="7"/>
  <c r="AE104" i="7"/>
  <c r="AH104" i="7" s="1"/>
  <c r="AH103" i="7"/>
  <c r="AG103" i="7"/>
  <c r="AF103" i="7"/>
  <c r="AE103" i="7"/>
  <c r="AI103" i="7" s="1"/>
  <c r="AE102" i="7"/>
  <c r="AI101" i="7"/>
  <c r="AH101" i="7"/>
  <c r="AG101" i="7"/>
  <c r="AE101" i="7"/>
  <c r="AF101" i="7" s="1"/>
  <c r="AG100" i="7"/>
  <c r="AF100" i="7"/>
  <c r="AE100" i="7"/>
  <c r="AI100" i="7" s="1"/>
  <c r="AE99" i="7"/>
  <c r="AI99" i="7" s="1"/>
  <c r="AI98" i="7"/>
  <c r="AH98" i="7"/>
  <c r="AG98" i="7"/>
  <c r="AE98" i="7"/>
  <c r="AF98" i="7" s="1"/>
  <c r="AF97" i="7"/>
  <c r="AE97" i="7"/>
  <c r="AI96" i="7"/>
  <c r="AE96" i="7"/>
  <c r="AH96" i="7" s="1"/>
  <c r="AH95" i="7"/>
  <c r="AG95" i="7"/>
  <c r="AF95" i="7"/>
  <c r="AE95" i="7"/>
  <c r="AI95" i="7" s="1"/>
  <c r="AE94" i="7"/>
  <c r="AI93" i="7"/>
  <c r="AH93" i="7"/>
  <c r="AE93" i="7"/>
  <c r="AG93" i="7" s="1"/>
  <c r="AG92" i="7"/>
  <c r="AF92" i="7"/>
  <c r="AE92" i="7"/>
  <c r="AI92" i="7" s="1"/>
  <c r="AE91" i="7"/>
  <c r="AI91" i="7" s="1"/>
  <c r="AI90" i="7"/>
  <c r="AH90" i="7"/>
  <c r="AG90" i="7"/>
  <c r="AE90" i="7"/>
  <c r="AF90" i="7" s="1"/>
  <c r="AE89" i="7"/>
  <c r="AI88" i="7"/>
  <c r="AE88" i="7"/>
  <c r="AH88" i="7" s="1"/>
  <c r="AH87" i="7"/>
  <c r="AG87" i="7"/>
  <c r="AF87" i="7"/>
  <c r="AE87" i="7"/>
  <c r="AI87" i="7" s="1"/>
  <c r="AE86" i="7"/>
  <c r="AI85" i="7"/>
  <c r="AH85" i="7"/>
  <c r="AE85" i="7"/>
  <c r="AG85" i="7" s="1"/>
  <c r="AG84" i="7"/>
  <c r="AF84" i="7"/>
  <c r="AE84" i="7"/>
  <c r="AI84" i="7" s="1"/>
  <c r="AE83" i="7"/>
  <c r="AI83" i="7" s="1"/>
  <c r="AI82" i="7"/>
  <c r="AH82" i="7"/>
  <c r="AG82" i="7"/>
  <c r="AE82" i="7"/>
  <c r="AF82" i="7" s="1"/>
  <c r="AF81" i="7"/>
  <c r="AE81" i="7"/>
  <c r="AI80" i="7"/>
  <c r="AE80" i="7"/>
  <c r="AH80" i="7" s="1"/>
  <c r="AH79" i="7"/>
  <c r="AG79" i="7"/>
  <c r="AF79" i="7"/>
  <c r="AE79" i="7"/>
  <c r="AI79" i="7" s="1"/>
  <c r="AE78" i="7"/>
  <c r="AI77" i="7"/>
  <c r="AH77" i="7"/>
  <c r="AE77" i="7"/>
  <c r="AG77" i="7" s="1"/>
  <c r="AG76" i="7"/>
  <c r="AF76" i="7"/>
  <c r="AE76" i="7"/>
  <c r="AI76" i="7" s="1"/>
  <c r="AE75" i="7"/>
  <c r="AI75" i="7" s="1"/>
  <c r="AI74" i="7"/>
  <c r="AH74" i="7"/>
  <c r="AG74" i="7"/>
  <c r="AE74" i="7"/>
  <c r="AF74" i="7" s="1"/>
  <c r="AE73" i="7"/>
  <c r="AI72" i="7"/>
  <c r="AE72" i="7"/>
  <c r="AH72" i="7" s="1"/>
  <c r="AH71" i="7"/>
  <c r="AG71" i="7"/>
  <c r="AF71" i="7"/>
  <c r="AE71" i="7"/>
  <c r="AI71" i="7" s="1"/>
  <c r="AE70" i="7"/>
  <c r="AI69" i="7"/>
  <c r="AH69" i="7"/>
  <c r="AE69" i="7"/>
  <c r="AG69" i="7" s="1"/>
  <c r="AG68" i="7"/>
  <c r="AF68" i="7"/>
  <c r="AE68" i="7"/>
  <c r="AI68" i="7" s="1"/>
  <c r="AE67" i="7"/>
  <c r="AI67" i="7" s="1"/>
  <c r="AI66" i="7"/>
  <c r="AH66" i="7"/>
  <c r="AG66" i="7"/>
  <c r="AE66" i="7"/>
  <c r="AF66" i="7" s="1"/>
  <c r="AF65" i="7"/>
  <c r="AE65" i="7"/>
  <c r="AE64" i="7"/>
  <c r="AH64" i="7" s="1"/>
  <c r="AH63" i="7"/>
  <c r="AG63" i="7"/>
  <c r="AF63" i="7"/>
  <c r="AE63" i="7"/>
  <c r="AI63" i="7" s="1"/>
  <c r="AE62" i="7"/>
  <c r="AG62" i="7" s="1"/>
  <c r="AI61" i="7"/>
  <c r="AE61" i="7"/>
  <c r="AG61" i="7" s="1"/>
  <c r="AI60" i="7"/>
  <c r="AG60" i="7"/>
  <c r="AF60" i="7"/>
  <c r="AE60" i="7"/>
  <c r="AH60" i="7" s="1"/>
  <c r="AF59" i="7"/>
  <c r="AE59" i="7"/>
  <c r="AI59" i="7" s="1"/>
  <c r="AI58" i="7"/>
  <c r="AH58" i="7"/>
  <c r="AG58" i="7"/>
  <c r="AE58" i="7"/>
  <c r="AF58" i="7" s="1"/>
  <c r="AH57" i="7"/>
  <c r="AE57" i="7"/>
  <c r="AE56" i="7"/>
  <c r="AH55" i="7"/>
  <c r="AG55" i="7"/>
  <c r="AE55" i="7"/>
  <c r="AI55" i="7" s="1"/>
  <c r="AE54" i="7"/>
  <c r="AI53" i="7"/>
  <c r="AE53" i="7"/>
  <c r="AG53" i="7" s="1"/>
  <c r="AI52" i="7"/>
  <c r="AG52" i="7"/>
  <c r="AF52" i="7"/>
  <c r="AE52" i="7"/>
  <c r="AH52" i="7" s="1"/>
  <c r="AF51" i="7"/>
  <c r="AE51" i="7"/>
  <c r="AI51" i="7" s="1"/>
  <c r="AI50" i="7"/>
  <c r="AH50" i="7"/>
  <c r="AG50" i="7"/>
  <c r="AE50" i="7"/>
  <c r="AF50" i="7" s="1"/>
  <c r="AF49" i="7"/>
  <c r="AE49" i="7"/>
  <c r="AE48" i="7"/>
  <c r="AH47" i="7"/>
  <c r="AG47" i="7"/>
  <c r="AE47" i="7"/>
  <c r="AI47" i="7" s="1"/>
  <c r="AG46" i="7"/>
  <c r="AE46" i="7"/>
  <c r="AI45" i="7"/>
  <c r="AE45" i="7"/>
  <c r="AG45" i="7" s="1"/>
  <c r="AI44" i="7"/>
  <c r="AG44" i="7"/>
  <c r="AF44" i="7"/>
  <c r="AE44" i="7"/>
  <c r="AH44" i="7" s="1"/>
  <c r="AF43" i="7"/>
  <c r="AE43" i="7"/>
  <c r="AI43" i="7" s="1"/>
  <c r="AI42" i="7"/>
  <c r="AH42" i="7"/>
  <c r="AG42" i="7"/>
  <c r="AE42" i="7"/>
  <c r="AF42" i="7" s="1"/>
  <c r="AF41" i="7"/>
  <c r="AE41" i="7"/>
  <c r="AH41" i="7" s="1"/>
  <c r="AE40" i="7"/>
  <c r="AH39" i="7"/>
  <c r="AG39" i="7"/>
  <c r="AF39" i="7"/>
  <c r="AE39" i="7"/>
  <c r="AI39" i="7" s="1"/>
  <c r="AE38" i="7"/>
  <c r="AG38" i="7" s="1"/>
  <c r="AI37" i="7"/>
  <c r="AE37" i="7"/>
  <c r="AG37" i="7" s="1"/>
  <c r="AI36" i="7"/>
  <c r="AG36" i="7"/>
  <c r="AF36" i="7"/>
  <c r="AE36" i="7"/>
  <c r="AH36" i="7" s="1"/>
  <c r="AF35" i="7"/>
  <c r="AE35" i="7"/>
  <c r="AI35" i="7" s="1"/>
  <c r="AI34" i="7"/>
  <c r="AH34" i="7"/>
  <c r="AE34" i="7"/>
  <c r="AF34" i="7" s="1"/>
  <c r="AH33" i="7"/>
  <c r="AF33" i="7"/>
  <c r="AE33" i="7"/>
  <c r="AE32" i="7"/>
  <c r="AH31" i="7"/>
  <c r="AG31" i="7"/>
  <c r="AE31" i="7"/>
  <c r="AI31" i="7" s="1"/>
  <c r="AG30" i="7"/>
  <c r="AE30" i="7"/>
  <c r="AI29" i="7"/>
  <c r="AG29" i="7"/>
  <c r="AE29" i="7"/>
  <c r="AF29" i="7" s="1"/>
  <c r="AI28" i="7"/>
  <c r="AH28" i="7"/>
  <c r="AF28" i="7"/>
  <c r="AE28" i="7"/>
  <c r="AG28" i="7" s="1"/>
  <c r="AF27" i="7"/>
  <c r="AE27" i="7"/>
  <c r="AI27" i="7" s="1"/>
  <c r="AH26" i="7"/>
  <c r="AG26" i="7"/>
  <c r="AF26" i="7"/>
  <c r="AE26" i="7"/>
  <c r="AI26" i="7" s="1"/>
  <c r="AH25" i="7"/>
  <c r="AE25" i="7"/>
  <c r="AG25" i="7" s="1"/>
  <c r="AE24" i="7"/>
  <c r="AI24" i="7" s="1"/>
  <c r="AG23" i="7"/>
  <c r="AE23" i="7"/>
  <c r="AI23" i="7" s="1"/>
  <c r="AI22" i="7"/>
  <c r="AH22" i="7"/>
  <c r="AG22" i="7"/>
  <c r="AF22" i="7"/>
  <c r="AE22" i="7"/>
  <c r="AI21" i="7"/>
  <c r="AH21" i="7"/>
  <c r="AG21" i="7"/>
  <c r="AE21" i="7"/>
  <c r="AF21" i="7" s="1"/>
  <c r="AI20" i="7"/>
  <c r="AH20" i="7"/>
  <c r="AF20" i="7"/>
  <c r="AE20" i="7"/>
  <c r="AG20" i="7" s="1"/>
  <c r="AF19" i="7"/>
  <c r="AE19" i="7"/>
  <c r="AI19" i="7" s="1"/>
  <c r="AH18" i="7"/>
  <c r="AG18" i="7"/>
  <c r="AF18" i="7"/>
  <c r="AE18" i="7"/>
  <c r="AI18" i="7" s="1"/>
  <c r="AH17" i="7"/>
  <c r="AE17" i="7"/>
  <c r="AG17" i="7" s="1"/>
  <c r="AE16" i="7"/>
  <c r="AI16" i="7" s="1"/>
  <c r="AG15" i="7"/>
  <c r="AE15" i="7"/>
  <c r="AI15" i="7" s="1"/>
  <c r="AI14" i="7"/>
  <c r="AH14" i="7"/>
  <c r="AG14" i="7"/>
  <c r="AF14" i="7"/>
  <c r="AE14" i="7"/>
  <c r="AI13" i="7"/>
  <c r="AH13" i="7"/>
  <c r="AG13" i="7"/>
  <c r="AE13" i="7"/>
  <c r="AF13" i="7" s="1"/>
  <c r="AI12" i="7"/>
  <c r="AH12" i="7"/>
  <c r="AF12" i="7"/>
  <c r="AE12" i="7"/>
  <c r="AG12" i="7" s="1"/>
  <c r="AF11" i="7"/>
  <c r="AE11" i="7"/>
  <c r="AI11" i="7" s="1"/>
  <c r="AH10" i="7"/>
  <c r="AG10" i="7"/>
  <c r="AF10" i="7"/>
  <c r="AE10" i="7"/>
  <c r="AI10" i="7" s="1"/>
  <c r="AH9" i="7"/>
  <c r="AE9" i="7"/>
  <c r="AG9" i="7" s="1"/>
  <c r="AE8" i="7"/>
  <c r="AI8" i="7" s="1"/>
  <c r="AG7" i="7"/>
  <c r="AE7" i="7"/>
  <c r="AI7" i="7" s="1"/>
  <c r="AI6" i="7"/>
  <c r="AH6" i="7"/>
  <c r="AG6" i="7"/>
  <c r="AF6" i="7"/>
  <c r="AE6" i="7"/>
  <c r="AI5" i="7"/>
  <c r="AH5" i="7"/>
  <c r="AG5" i="7"/>
  <c r="AE5" i="7"/>
  <c r="AF5" i="7" s="1"/>
  <c r="AI4" i="7"/>
  <c r="AH4" i="7"/>
  <c r="AF4" i="7"/>
  <c r="AE4" i="7"/>
  <c r="AG4" i="7" s="1"/>
  <c r="AF3" i="7"/>
  <c r="AE3" i="7"/>
  <c r="AI3" i="7" s="1"/>
  <c r="U2" i="1" l="1"/>
  <c r="U3" i="1"/>
  <c r="U9" i="1"/>
  <c r="U10" i="1"/>
  <c r="U6" i="1"/>
  <c r="U5" i="1"/>
  <c r="U8" i="1"/>
  <c r="O401" i="1"/>
  <c r="V401" i="2"/>
  <c r="R401" i="2"/>
  <c r="AH56" i="7"/>
  <c r="AG56" i="7"/>
  <c r="AF56" i="7"/>
  <c r="AI56" i="7"/>
  <c r="AI78" i="7"/>
  <c r="AH78" i="7"/>
  <c r="AG78" i="7"/>
  <c r="AF78" i="7"/>
  <c r="AI113" i="7"/>
  <c r="AH113" i="7"/>
  <c r="AG113" i="7"/>
  <c r="AI129" i="7"/>
  <c r="AH129" i="7"/>
  <c r="AG129" i="7"/>
  <c r="AI145" i="7"/>
  <c r="AH145" i="7"/>
  <c r="AG145" i="7"/>
  <c r="AG3" i="7"/>
  <c r="AF8" i="7"/>
  <c r="AI9" i="7"/>
  <c r="AG11" i="7"/>
  <c r="AF16" i="7"/>
  <c r="AI17" i="7"/>
  <c r="AG19" i="7"/>
  <c r="AF24" i="7"/>
  <c r="AI25" i="7"/>
  <c r="AG27" i="7"/>
  <c r="AH32" i="7"/>
  <c r="AG32" i="7"/>
  <c r="AF32" i="7"/>
  <c r="AI32" i="7"/>
  <c r="AI57" i="7"/>
  <c r="AG57" i="7"/>
  <c r="AI110" i="7"/>
  <c r="AH110" i="7"/>
  <c r="AG110" i="7"/>
  <c r="AF110" i="7"/>
  <c r="AF113" i="7"/>
  <c r="AI126" i="7"/>
  <c r="AH126" i="7"/>
  <c r="AG126" i="7"/>
  <c r="AF126" i="7"/>
  <c r="AF129" i="7"/>
  <c r="AI142" i="7"/>
  <c r="AH142" i="7"/>
  <c r="AG142" i="7"/>
  <c r="AF142" i="7"/>
  <c r="AF145" i="7"/>
  <c r="AI158" i="7"/>
  <c r="AH158" i="7"/>
  <c r="AG158" i="7"/>
  <c r="AF158" i="7"/>
  <c r="AH178" i="7"/>
  <c r="AG178" i="7"/>
  <c r="AI178" i="7"/>
  <c r="AH194" i="7"/>
  <c r="AG194" i="7"/>
  <c r="AI194" i="7"/>
  <c r="AI199" i="7"/>
  <c r="AG199" i="7"/>
  <c r="AF199" i="7"/>
  <c r="AH199" i="7"/>
  <c r="AH3" i="7"/>
  <c r="AG8" i="7"/>
  <c r="AH11" i="7"/>
  <c r="AG16" i="7"/>
  <c r="AH19" i="7"/>
  <c r="AG24" i="7"/>
  <c r="AH27" i="7"/>
  <c r="AI33" i="7"/>
  <c r="AG33" i="7"/>
  <c r="AF57" i="7"/>
  <c r="AF178" i="7"/>
  <c r="AI224" i="7"/>
  <c r="AF224" i="7"/>
  <c r="AH224" i="7"/>
  <c r="AG224" i="7"/>
  <c r="AI240" i="7"/>
  <c r="AF240" i="7"/>
  <c r="AH240" i="7"/>
  <c r="AG240" i="7"/>
  <c r="AI256" i="7"/>
  <c r="AF256" i="7"/>
  <c r="AH256" i="7"/>
  <c r="AG256" i="7"/>
  <c r="AF294" i="7"/>
  <c r="AH294" i="7"/>
  <c r="AI294" i="7"/>
  <c r="AG294" i="7"/>
  <c r="AI161" i="7"/>
  <c r="AH161" i="7"/>
  <c r="AG161" i="7"/>
  <c r="AH8" i="7"/>
  <c r="AH16" i="7"/>
  <c r="AH24" i="7"/>
  <c r="AH48" i="7"/>
  <c r="AG48" i="7"/>
  <c r="AF48" i="7"/>
  <c r="AI48" i="7"/>
  <c r="AI54" i="7"/>
  <c r="AH54" i="7"/>
  <c r="AF54" i="7"/>
  <c r="AI73" i="7"/>
  <c r="AH73" i="7"/>
  <c r="AG73" i="7"/>
  <c r="AI89" i="7"/>
  <c r="AH89" i="7"/>
  <c r="AG89" i="7"/>
  <c r="AI175" i="7"/>
  <c r="AG175" i="7"/>
  <c r="AF175" i="7"/>
  <c r="AI191" i="7"/>
  <c r="AG191" i="7"/>
  <c r="AF191" i="7"/>
  <c r="AF206" i="7"/>
  <c r="AH206" i="7"/>
  <c r="AI206" i="7"/>
  <c r="AF286" i="7"/>
  <c r="AH286" i="7"/>
  <c r="AI286" i="7"/>
  <c r="AI322" i="7"/>
  <c r="AH322" i="7"/>
  <c r="AG322" i="7"/>
  <c r="AF322" i="7"/>
  <c r="AI38" i="7"/>
  <c r="AH38" i="7"/>
  <c r="AF38" i="7"/>
  <c r="AI62" i="7"/>
  <c r="AH62" i="7"/>
  <c r="AF62" i="7"/>
  <c r="AI94" i="7"/>
  <c r="AH94" i="7"/>
  <c r="AG94" i="7"/>
  <c r="AF94" i="7"/>
  <c r="AF7" i="7"/>
  <c r="AF15" i="7"/>
  <c r="AF23" i="7"/>
  <c r="AI30" i="7"/>
  <c r="AH30" i="7"/>
  <c r="AF30" i="7"/>
  <c r="AI49" i="7"/>
  <c r="AG49" i="7"/>
  <c r="AG54" i="7"/>
  <c r="AI70" i="7"/>
  <c r="AH70" i="7"/>
  <c r="AG70" i="7"/>
  <c r="AF70" i="7"/>
  <c r="AF73" i="7"/>
  <c r="AI86" i="7"/>
  <c r="AH86" i="7"/>
  <c r="AG86" i="7"/>
  <c r="AF86" i="7"/>
  <c r="AF89" i="7"/>
  <c r="AI105" i="7"/>
  <c r="AH105" i="7"/>
  <c r="AG105" i="7"/>
  <c r="AI121" i="7"/>
  <c r="AH121" i="7"/>
  <c r="AG121" i="7"/>
  <c r="AI137" i="7"/>
  <c r="AH137" i="7"/>
  <c r="AG137" i="7"/>
  <c r="AI153" i="7"/>
  <c r="AH153" i="7"/>
  <c r="AG153" i="7"/>
  <c r="AH175" i="7"/>
  <c r="AH191" i="7"/>
  <c r="AG206" i="7"/>
  <c r="AF270" i="7"/>
  <c r="AH270" i="7"/>
  <c r="AI270" i="7"/>
  <c r="AG286" i="7"/>
  <c r="AI118" i="7"/>
  <c r="AH118" i="7"/>
  <c r="AG118" i="7"/>
  <c r="AF118" i="7"/>
  <c r="AI134" i="7"/>
  <c r="AH134" i="7"/>
  <c r="AG134" i="7"/>
  <c r="AF134" i="7"/>
  <c r="AI150" i="7"/>
  <c r="AH150" i="7"/>
  <c r="AG150" i="7"/>
  <c r="AF150" i="7"/>
  <c r="AH170" i="7"/>
  <c r="AG170" i="7"/>
  <c r="AI170" i="7"/>
  <c r="AH186" i="7"/>
  <c r="AG186" i="7"/>
  <c r="AI186" i="7"/>
  <c r="AI264" i="7"/>
  <c r="AH264" i="7"/>
  <c r="AF264" i="7"/>
  <c r="AH7" i="7"/>
  <c r="AF9" i="7"/>
  <c r="AH15" i="7"/>
  <c r="AF17" i="7"/>
  <c r="AH23" i="7"/>
  <c r="AF25" i="7"/>
  <c r="AH40" i="7"/>
  <c r="AG40" i="7"/>
  <c r="AF40" i="7"/>
  <c r="AI40" i="7"/>
  <c r="AI46" i="7"/>
  <c r="AH46" i="7"/>
  <c r="AF46" i="7"/>
  <c r="AH49" i="7"/>
  <c r="AF170" i="7"/>
  <c r="AF186" i="7"/>
  <c r="AI232" i="7"/>
  <c r="AF232" i="7"/>
  <c r="AH232" i="7"/>
  <c r="AG232" i="7"/>
  <c r="AI248" i="7"/>
  <c r="AF248" i="7"/>
  <c r="AH248" i="7"/>
  <c r="AG248" i="7"/>
  <c r="AG264" i="7"/>
  <c r="AI304" i="7"/>
  <c r="AH304" i="7"/>
  <c r="AF304" i="7"/>
  <c r="AG304" i="7"/>
  <c r="AI102" i="7"/>
  <c r="AH102" i="7"/>
  <c r="AG102" i="7"/>
  <c r="AF102" i="7"/>
  <c r="AI41" i="7"/>
  <c r="AG41" i="7"/>
  <c r="AI65" i="7"/>
  <c r="AH65" i="7"/>
  <c r="AG65" i="7"/>
  <c r="AI81" i="7"/>
  <c r="AH81" i="7"/>
  <c r="AG81" i="7"/>
  <c r="AI97" i="7"/>
  <c r="AH97" i="7"/>
  <c r="AG97" i="7"/>
  <c r="AI167" i="7"/>
  <c r="AG167" i="7"/>
  <c r="AF167" i="7"/>
  <c r="AI183" i="7"/>
  <c r="AG183" i="7"/>
  <c r="AF183" i="7"/>
  <c r="AI296" i="7"/>
  <c r="AH296" i="7"/>
  <c r="AF296" i="7"/>
  <c r="AH29" i="7"/>
  <c r="AF31" i="7"/>
  <c r="AG34" i="7"/>
  <c r="AH37" i="7"/>
  <c r="AH45" i="7"/>
  <c r="AF47" i="7"/>
  <c r="AH53" i="7"/>
  <c r="AF55" i="7"/>
  <c r="AH61" i="7"/>
  <c r="AI64" i="7"/>
  <c r="AH164" i="7"/>
  <c r="AF164" i="7"/>
  <c r="AI216" i="7"/>
  <c r="AF216" i="7"/>
  <c r="AI223" i="7"/>
  <c r="AG223" i="7"/>
  <c r="AF223" i="7"/>
  <c r="AH226" i="7"/>
  <c r="AG226" i="7"/>
  <c r="AI231" i="7"/>
  <c r="AG231" i="7"/>
  <c r="AF231" i="7"/>
  <c r="AH234" i="7"/>
  <c r="AG234" i="7"/>
  <c r="AI239" i="7"/>
  <c r="AG239" i="7"/>
  <c r="AF239" i="7"/>
  <c r="AH242" i="7"/>
  <c r="AG242" i="7"/>
  <c r="AI247" i="7"/>
  <c r="AG247" i="7"/>
  <c r="AF247" i="7"/>
  <c r="AH250" i="7"/>
  <c r="AG250" i="7"/>
  <c r="AI255" i="7"/>
  <c r="AG255" i="7"/>
  <c r="AF255" i="7"/>
  <c r="AH258" i="7"/>
  <c r="AG258" i="7"/>
  <c r="AF278" i="7"/>
  <c r="AH278" i="7"/>
  <c r="AI288" i="7"/>
  <c r="AH288" i="7"/>
  <c r="AF288" i="7"/>
  <c r="AI314" i="7"/>
  <c r="AH314" i="7"/>
  <c r="AG314" i="7"/>
  <c r="AF314" i="7"/>
  <c r="AH68" i="7"/>
  <c r="AH76" i="7"/>
  <c r="AH84" i="7"/>
  <c r="AH92" i="7"/>
  <c r="AH100" i="7"/>
  <c r="AH108" i="7"/>
  <c r="AH116" i="7"/>
  <c r="AH124" i="7"/>
  <c r="AH132" i="7"/>
  <c r="AH140" i="7"/>
  <c r="AH148" i="7"/>
  <c r="AH156" i="7"/>
  <c r="AI168" i="7"/>
  <c r="AF168" i="7"/>
  <c r="AI176" i="7"/>
  <c r="AF176" i="7"/>
  <c r="AI184" i="7"/>
  <c r="AF184" i="7"/>
  <c r="AI192" i="7"/>
  <c r="AF192" i="7"/>
  <c r="AH202" i="7"/>
  <c r="AG202" i="7"/>
  <c r="AF214" i="7"/>
  <c r="AH214" i="7"/>
  <c r="AF302" i="7"/>
  <c r="AH302" i="7"/>
  <c r="AI312" i="7"/>
  <c r="AH312" i="7"/>
  <c r="AF312" i="7"/>
  <c r="AF67" i="7"/>
  <c r="AF75" i="7"/>
  <c r="AF83" i="7"/>
  <c r="AF91" i="7"/>
  <c r="AF99" i="7"/>
  <c r="AF107" i="7"/>
  <c r="AF115" i="7"/>
  <c r="AF123" i="7"/>
  <c r="AF131" i="7"/>
  <c r="AF139" i="7"/>
  <c r="AF147" i="7"/>
  <c r="AF155" i="7"/>
  <c r="AF163" i="7"/>
  <c r="AG168" i="7"/>
  <c r="AG176" i="7"/>
  <c r="AG184" i="7"/>
  <c r="AG192" i="7"/>
  <c r="AI200" i="7"/>
  <c r="AF200" i="7"/>
  <c r="AF202" i="7"/>
  <c r="AI207" i="7"/>
  <c r="AG207" i="7"/>
  <c r="AF207" i="7"/>
  <c r="AG214" i="7"/>
  <c r="AF262" i="7"/>
  <c r="AH262" i="7"/>
  <c r="AH274" i="7"/>
  <c r="AG274" i="7"/>
  <c r="AF274" i="7"/>
  <c r="AH282" i="7"/>
  <c r="AG282" i="7"/>
  <c r="AF282" i="7"/>
  <c r="AG302" i="7"/>
  <c r="AG312" i="7"/>
  <c r="AI320" i="7"/>
  <c r="AH320" i="7"/>
  <c r="AF320" i="7"/>
  <c r="AI330" i="7"/>
  <c r="AH330" i="7"/>
  <c r="AG330" i="7"/>
  <c r="AF330" i="7"/>
  <c r="AG35" i="7"/>
  <c r="AG43" i="7"/>
  <c r="AG51" i="7"/>
  <c r="AG59" i="7"/>
  <c r="AF64" i="7"/>
  <c r="AG67" i="7"/>
  <c r="AF72" i="7"/>
  <c r="AG75" i="7"/>
  <c r="AF80" i="7"/>
  <c r="AG83" i="7"/>
  <c r="AF88" i="7"/>
  <c r="AG91" i="7"/>
  <c r="AF96" i="7"/>
  <c r="AG99" i="7"/>
  <c r="AF104" i="7"/>
  <c r="AG107" i="7"/>
  <c r="AF112" i="7"/>
  <c r="AG115" i="7"/>
  <c r="AF120" i="7"/>
  <c r="AG123" i="7"/>
  <c r="AF128" i="7"/>
  <c r="AG131" i="7"/>
  <c r="AF136" i="7"/>
  <c r="AG139" i="7"/>
  <c r="AF144" i="7"/>
  <c r="AG147" i="7"/>
  <c r="AF152" i="7"/>
  <c r="AG155" i="7"/>
  <c r="AF160" i="7"/>
  <c r="AG163" i="7"/>
  <c r="AH168" i="7"/>
  <c r="AH176" i="7"/>
  <c r="AH184" i="7"/>
  <c r="AH192" i="7"/>
  <c r="AG200" i="7"/>
  <c r="AI202" i="7"/>
  <c r="AH207" i="7"/>
  <c r="AH210" i="7"/>
  <c r="AG210" i="7"/>
  <c r="AI214" i="7"/>
  <c r="AF222" i="7"/>
  <c r="AH222" i="7"/>
  <c r="AF230" i="7"/>
  <c r="AH230" i="7"/>
  <c r="AF238" i="7"/>
  <c r="AH238" i="7"/>
  <c r="AF246" i="7"/>
  <c r="AH246" i="7"/>
  <c r="AF254" i="7"/>
  <c r="AH254" i="7"/>
  <c r="AG262" i="7"/>
  <c r="AH290" i="7"/>
  <c r="AG290" i="7"/>
  <c r="AF290" i="7"/>
  <c r="AI302" i="7"/>
  <c r="AG320" i="7"/>
  <c r="AH35" i="7"/>
  <c r="AF37" i="7"/>
  <c r="AH43" i="7"/>
  <c r="AF45" i="7"/>
  <c r="AH51" i="7"/>
  <c r="AF53" i="7"/>
  <c r="AH59" i="7"/>
  <c r="AF61" i="7"/>
  <c r="AG64" i="7"/>
  <c r="AH67" i="7"/>
  <c r="AF69" i="7"/>
  <c r="AG72" i="7"/>
  <c r="AH75" i="7"/>
  <c r="AF77" i="7"/>
  <c r="AG80" i="7"/>
  <c r="AH83" i="7"/>
  <c r="AF85" i="7"/>
  <c r="AG88" i="7"/>
  <c r="AH91" i="7"/>
  <c r="AF93" i="7"/>
  <c r="AG96" i="7"/>
  <c r="AH99" i="7"/>
  <c r="AG104" i="7"/>
  <c r="AH107" i="7"/>
  <c r="AF109" i="7"/>
  <c r="AG112" i="7"/>
  <c r="AH115" i="7"/>
  <c r="AF117" i="7"/>
  <c r="AG120" i="7"/>
  <c r="AH123" i="7"/>
  <c r="AF125" i="7"/>
  <c r="AG128" i="7"/>
  <c r="AH131" i="7"/>
  <c r="AF133" i="7"/>
  <c r="AG136" i="7"/>
  <c r="AH139" i="7"/>
  <c r="AF141" i="7"/>
  <c r="AG144" i="7"/>
  <c r="AH147" i="7"/>
  <c r="AF149" i="7"/>
  <c r="AG152" i="7"/>
  <c r="AH155" i="7"/>
  <c r="AF157" i="7"/>
  <c r="AG160" i="7"/>
  <c r="AH163" i="7"/>
  <c r="AF166" i="7"/>
  <c r="AH166" i="7"/>
  <c r="AF174" i="7"/>
  <c r="AH174" i="7"/>
  <c r="AF182" i="7"/>
  <c r="AH182" i="7"/>
  <c r="AF190" i="7"/>
  <c r="AH190" i="7"/>
  <c r="AH200" i="7"/>
  <c r="AI208" i="7"/>
  <c r="AF208" i="7"/>
  <c r="AF210" i="7"/>
  <c r="AI215" i="7"/>
  <c r="AG215" i="7"/>
  <c r="AF215" i="7"/>
  <c r="AG222" i="7"/>
  <c r="AG230" i="7"/>
  <c r="AG238" i="7"/>
  <c r="AG246" i="7"/>
  <c r="AG254" i="7"/>
  <c r="AI262" i="7"/>
  <c r="AH266" i="7"/>
  <c r="AG266" i="7"/>
  <c r="AF266" i="7"/>
  <c r="AI290" i="7"/>
  <c r="AH298" i="7"/>
  <c r="AG298" i="7"/>
  <c r="AF298" i="7"/>
  <c r="AI328" i="7"/>
  <c r="AH328" i="7"/>
  <c r="AF328" i="7"/>
  <c r="AG166" i="7"/>
  <c r="AG174" i="7"/>
  <c r="AG182" i="7"/>
  <c r="AG190" i="7"/>
  <c r="AF198" i="7"/>
  <c r="AH198" i="7"/>
  <c r="AG208" i="7"/>
  <c r="AI210" i="7"/>
  <c r="AH215" i="7"/>
  <c r="AH218" i="7"/>
  <c r="AG218" i="7"/>
  <c r="AI222" i="7"/>
  <c r="AI230" i="7"/>
  <c r="AI238" i="7"/>
  <c r="AI246" i="7"/>
  <c r="AI254" i="7"/>
  <c r="AI266" i="7"/>
  <c r="AI272" i="7"/>
  <c r="AH272" i="7"/>
  <c r="AF272" i="7"/>
  <c r="AI280" i="7"/>
  <c r="AH280" i="7"/>
  <c r="AF280" i="7"/>
  <c r="AH306" i="7"/>
  <c r="AG306" i="7"/>
  <c r="AF306" i="7"/>
  <c r="AG328" i="7"/>
  <c r="AI169" i="7"/>
  <c r="AI177" i="7"/>
  <c r="AI185" i="7"/>
  <c r="AI193" i="7"/>
  <c r="AI225" i="7"/>
  <c r="AI233" i="7"/>
  <c r="AI241" i="7"/>
  <c r="AI249" i="7"/>
  <c r="AI257" i="7"/>
  <c r="AI265" i="7"/>
  <c r="AG267" i="7"/>
  <c r="AI273" i="7"/>
  <c r="AG275" i="7"/>
  <c r="AI281" i="7"/>
  <c r="AG283" i="7"/>
  <c r="AI289" i="7"/>
  <c r="AG291" i="7"/>
  <c r="AI297" i="7"/>
  <c r="AG299" i="7"/>
  <c r="AI305" i="7"/>
  <c r="AG307" i="7"/>
  <c r="AH310" i="7"/>
  <c r="AI313" i="7"/>
  <c r="AG315" i="7"/>
  <c r="AH318" i="7"/>
  <c r="AG323" i="7"/>
  <c r="AH326" i="7"/>
  <c r="AG331" i="7"/>
  <c r="AG261" i="7"/>
  <c r="AG269" i="7"/>
  <c r="AG277" i="7"/>
  <c r="AG285" i="7"/>
  <c r="AG293" i="7"/>
  <c r="AG301" i="7"/>
  <c r="AG309" i="7"/>
  <c r="AH165" i="7"/>
  <c r="AH173" i="7"/>
  <c r="AH181" i="7"/>
  <c r="AH189" i="7"/>
  <c r="AH197" i="7"/>
  <c r="AH205" i="7"/>
  <c r="AH213" i="7"/>
  <c r="AH221" i="7"/>
  <c r="AH229" i="7"/>
  <c r="AH237" i="7"/>
  <c r="AH245" i="7"/>
  <c r="AH253" i="7"/>
  <c r="AH261" i="7"/>
  <c r="AF263" i="7"/>
  <c r="AH269" i="7"/>
  <c r="AF271" i="7"/>
  <c r="AF172" i="7"/>
  <c r="AF180" i="7"/>
  <c r="AF188" i="7"/>
  <c r="AF196" i="7"/>
  <c r="AF204" i="7"/>
  <c r="AF212" i="7"/>
  <c r="AF220" i="7"/>
  <c r="AF228" i="7"/>
  <c r="AF236" i="7"/>
  <c r="AF244" i="7"/>
  <c r="AF252" i="7"/>
  <c r="AF260" i="7"/>
  <c r="AG263" i="7"/>
  <c r="U401" i="2" l="1"/>
  <c r="S401" i="2"/>
  <c r="T401" i="2"/>
  <c r="S401" i="1"/>
  <c r="Q401" i="1"/>
  <c r="T401" i="1"/>
  <c r="R401" i="1"/>
  <c r="U401" i="1" l="1"/>
  <c r="W401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<sst xmlns="http://schemas.openxmlformats.org/spreadsheetml/2006/main" count="2068" uniqueCount="853">
  <si>
    <t>Cost of Implementing Minimum Wage Standards for Nursing Home Workforce Standards Board</t>
  </si>
  <si>
    <t>Section 1 - General Information</t>
  </si>
  <si>
    <t>Enter DHS Facility IID#</t>
  </si>
  <si>
    <t>Facility Name:</t>
  </si>
  <si>
    <t>Taxes &amp; Benefits</t>
  </si>
  <si>
    <t>% of Total Salaries</t>
  </si>
  <si>
    <t>FICA</t>
  </si>
  <si>
    <t>Name of Facility Contact:</t>
  </si>
  <si>
    <t>*FUTA / SUTA</t>
  </si>
  <si>
    <t>Email address of Contact:</t>
  </si>
  <si>
    <t>*Worker's Comp Insurance</t>
  </si>
  <si>
    <t>Facility Type</t>
  </si>
  <si>
    <t>Section 2 - Allocation Table for Shared Staff or Hospital-Attached</t>
  </si>
  <si>
    <t>Does the facility allocate shared staff between the nursing facility and another operation OR does the facility have allocated departments based on a hospital step-down?  Examples include maintenance staff working for the assisted living, dietary staff preparing meals for the assisted living, or hospital staff working in the nursing home.</t>
  </si>
  <si>
    <t>If Yes above, please complete the following table:</t>
  </si>
  <si>
    <t>Department</t>
  </si>
  <si>
    <t>Allocation Method</t>
  </si>
  <si>
    <t>Nursing Facility Percent from 2024 Cost Report</t>
  </si>
  <si>
    <t>Nursing</t>
  </si>
  <si>
    <t>Medical Records</t>
  </si>
  <si>
    <t>Mental Health</t>
  </si>
  <si>
    <t>Social Services</t>
  </si>
  <si>
    <t>Activities</t>
  </si>
  <si>
    <t>Other Care Related</t>
  </si>
  <si>
    <t>Dietary</t>
  </si>
  <si>
    <t>Laundry</t>
  </si>
  <si>
    <t>Housekeeping</t>
  </si>
  <si>
    <t>Maintenance</t>
  </si>
  <si>
    <t>If Yes above, but facility did not complete table, please explain:</t>
  </si>
  <si>
    <t>Employee ID Number / Code</t>
  </si>
  <si>
    <t>Position / Title</t>
  </si>
  <si>
    <t>Hourly Rate of Pay before WSB Minimum</t>
  </si>
  <si>
    <r>
      <t xml:space="preserve">Payroll Period Begins Date        </t>
    </r>
    <r>
      <rPr>
        <b/>
        <sz val="11"/>
        <color rgb="FFFF0000"/>
        <rFont val="Aptos Narrow"/>
        <family val="2"/>
        <scheme val="minor"/>
      </rPr>
      <t>(Must start after 6/1/2025)</t>
    </r>
  </si>
  <si>
    <r>
      <t xml:space="preserve">Payroll Period Ends Date </t>
    </r>
    <r>
      <rPr>
        <b/>
        <sz val="11"/>
        <color rgb="FFFF0000"/>
        <rFont val="Aptos Narrow"/>
        <family val="2"/>
        <scheme val="minor"/>
      </rPr>
      <t>(Minimum two months)</t>
    </r>
  </si>
  <si>
    <t>Total Compensated Hours during period submitted?</t>
  </si>
  <si>
    <t>Are there Employer paid retirement benefits included on payroll for the employee?</t>
  </si>
  <si>
    <r>
      <t xml:space="preserve">Employer paid retirement contributions                                       (% of Wages)  </t>
    </r>
    <r>
      <rPr>
        <b/>
        <sz val="11"/>
        <color rgb="FF1000E4"/>
        <rFont val="Aptos Narrow"/>
        <family val="2"/>
        <scheme val="minor"/>
      </rPr>
      <t>(Blue = % input required)</t>
    </r>
  </si>
  <si>
    <t>Combined Name</t>
  </si>
  <si>
    <t>CR Rate Category</t>
  </si>
  <si>
    <t>Period Days</t>
  </si>
  <si>
    <t>Percentage Allocated to Nursing Facility? (%)</t>
  </si>
  <si>
    <t>Hourly WSB  Wage Minimum</t>
  </si>
  <si>
    <t>Annual NF Wage Costs before WSB Minimum</t>
  </si>
  <si>
    <t>Annual NF Wage Costs after WSB Minimum</t>
  </si>
  <si>
    <t>Annual Cost of Wage Increase included in Rate Adjustment</t>
  </si>
  <si>
    <t>Employer FICA and Medicare Tax</t>
  </si>
  <si>
    <t>Employer                                       FUTA / SUTA</t>
  </si>
  <si>
    <t>Employer Worker's Compensation Insurance</t>
  </si>
  <si>
    <t>Employer Pension or Retirement Contribution</t>
  </si>
  <si>
    <t>Total Annual Cost of Wage Increase included in Rate Adjustment</t>
  </si>
  <si>
    <t>Vendor Name</t>
  </si>
  <si>
    <t>Employer        FUTA / SUTA       (% of Wages)</t>
  </si>
  <si>
    <t>Employer Worker's Compensation Insurance          (% of Wages)</t>
  </si>
  <si>
    <t>Percentage Allocated to Nursing Facility?            (%)</t>
  </si>
  <si>
    <t>Total</t>
  </si>
  <si>
    <t>Employee Position</t>
  </si>
  <si>
    <t>Pension</t>
  </si>
  <si>
    <t>Contractor Position</t>
  </si>
  <si>
    <t>Warning</t>
  </si>
  <si>
    <t>NF CR</t>
  </si>
  <si>
    <t>Auditor Email</t>
  </si>
  <si>
    <t>LPN</t>
  </si>
  <si>
    <t>Patient / Resident Days</t>
  </si>
  <si>
    <t>Yes</t>
  </si>
  <si>
    <t>CR 9/30/2024</t>
  </si>
  <si>
    <t>Employee Input</t>
  </si>
  <si>
    <t>Anne Erickson</t>
  </si>
  <si>
    <t>Anne.Erickson@state.mn.us</t>
  </si>
  <si>
    <t>CNA / NAR</t>
  </si>
  <si>
    <t>Meals Served</t>
  </si>
  <si>
    <t>No</t>
  </si>
  <si>
    <t>Total Employees</t>
  </si>
  <si>
    <t>Cody Mills</t>
  </si>
  <si>
    <t>Cody.L.Mills@state.mn.us</t>
  </si>
  <si>
    <t>TMA</t>
  </si>
  <si>
    <t>Time Studies</t>
  </si>
  <si>
    <t>Deb Doughty</t>
  </si>
  <si>
    <t>Debra.S.Doughty@state.mn.us</t>
  </si>
  <si>
    <t>Medical Records Staff</t>
  </si>
  <si>
    <t>Pounds of Laundry</t>
  </si>
  <si>
    <t>Compensated Hrs</t>
  </si>
  <si>
    <t>Heather Carlson</t>
  </si>
  <si>
    <t>Heather.K.Carlson@state.mn.us</t>
  </si>
  <si>
    <t>Health Information Manager</t>
  </si>
  <si>
    <t>Square Feet</t>
  </si>
  <si>
    <t>Mental Health Worker</t>
  </si>
  <si>
    <t>Care Related</t>
  </si>
  <si>
    <t>Heidi Mercil</t>
  </si>
  <si>
    <t>Heidi.Mercil@state.mn.us</t>
  </si>
  <si>
    <t>Health Unit Coordinator</t>
  </si>
  <si>
    <t>Expense (accumulated costs)</t>
  </si>
  <si>
    <t>Social Worker</t>
  </si>
  <si>
    <t>Other Operations</t>
  </si>
  <si>
    <t>Jane Gottwald</t>
  </si>
  <si>
    <t>jane.gottwald@state.mn.us</t>
  </si>
  <si>
    <t>Scheduling Coordinator</t>
  </si>
  <si>
    <t>No allocation or Direct ID</t>
  </si>
  <si>
    <t>Activities Staff</t>
  </si>
  <si>
    <t>Jessie Moggach</t>
  </si>
  <si>
    <t>Jessie.Moggach@state.mn.us</t>
  </si>
  <si>
    <t>Other - Needs DHS approval</t>
  </si>
  <si>
    <t>Chaplain / Religious Staff</t>
  </si>
  <si>
    <t>Masayo Radeke</t>
  </si>
  <si>
    <t>Masayo.Radeke@state.mn.us</t>
  </si>
  <si>
    <t>Nursing FTEs</t>
  </si>
  <si>
    <t>Interpreter</t>
  </si>
  <si>
    <t>Annualized Comp Hrs</t>
  </si>
  <si>
    <t>Total Period Days</t>
  </si>
  <si>
    <t>Avg Period Days</t>
  </si>
  <si>
    <t>Comp Hrs / Avg Period Days * 365</t>
  </si>
  <si>
    <t>Shelly Jacobs</t>
  </si>
  <si>
    <t>michelle.jacobs@state.mn.us</t>
  </si>
  <si>
    <t>Admissions Coordinator</t>
  </si>
  <si>
    <t>Other Care Related Staff</t>
  </si>
  <si>
    <t>Unassigned</t>
  </si>
  <si>
    <t>Activities Director</t>
  </si>
  <si>
    <t>Dietary Director</t>
  </si>
  <si>
    <t>Activities Aide</t>
  </si>
  <si>
    <t>Cook</t>
  </si>
  <si>
    <t>Chaplain / Religious Worker</t>
  </si>
  <si>
    <t>Dietary Aide</t>
  </si>
  <si>
    <t>Feeding Assistant</t>
  </si>
  <si>
    <t>Counts</t>
  </si>
  <si>
    <t>Laundry Director</t>
  </si>
  <si>
    <t>Laundry Worker</t>
  </si>
  <si>
    <t>Housekeeping Director</t>
  </si>
  <si>
    <t>Housekeeper</t>
  </si>
  <si>
    <t>Maintenance Director</t>
  </si>
  <si>
    <t>Maintenance Worker</t>
  </si>
  <si>
    <t>Therapy</t>
  </si>
  <si>
    <t>SAS Report data ran 7/15/2025 for RYE 9/30/2024</t>
  </si>
  <si>
    <t>IID</t>
  </si>
  <si>
    <t>Name</t>
  </si>
  <si>
    <t>All9011</t>
  </si>
  <si>
    <t>All9012</t>
  </si>
  <si>
    <t>All9024</t>
  </si>
  <si>
    <t>All9026</t>
  </si>
  <si>
    <t>All6111</t>
  </si>
  <si>
    <t>All6112</t>
  </si>
  <si>
    <t>All6113</t>
  </si>
  <si>
    <t>All6114</t>
  </si>
  <si>
    <t>All6115</t>
  </si>
  <si>
    <t>All6116</t>
  </si>
  <si>
    <t>All6118</t>
  </si>
  <si>
    <t>All6211</t>
  </si>
  <si>
    <t>All6212</t>
  </si>
  <si>
    <t>All6213</t>
  </si>
  <si>
    <t>All6260</t>
  </si>
  <si>
    <t>All6217</t>
  </si>
  <si>
    <t>All6240</t>
  </si>
  <si>
    <t>All6245</t>
  </si>
  <si>
    <t>All6313</t>
  </si>
  <si>
    <t>All6317</t>
  </si>
  <si>
    <t>All6413</t>
  </si>
  <si>
    <t>All6417</t>
  </si>
  <si>
    <t>All6513</t>
  </si>
  <si>
    <t>All6517</t>
  </si>
  <si>
    <t>All6613</t>
  </si>
  <si>
    <t>All6617</t>
  </si>
  <si>
    <t>All8013</t>
  </si>
  <si>
    <t>All8017</t>
  </si>
  <si>
    <t>Total Salaries</t>
  </si>
  <si>
    <t>FICA %</t>
  </si>
  <si>
    <t>FUTA/SUTA %</t>
  </si>
  <si>
    <t>Work Comp %</t>
  </si>
  <si>
    <t>Pension %</t>
  </si>
  <si>
    <t>Hospital?</t>
  </si>
  <si>
    <t>KYEAR</t>
  </si>
  <si>
    <t>Aitkin Health Services</t>
  </si>
  <si>
    <t>Aicota Health Care Center, Inc.</t>
  </si>
  <si>
    <t>Crest View Corporation</t>
  </si>
  <si>
    <t>ANOKA REHABILIATION AND LIVING CENTER</t>
  </si>
  <si>
    <t>The Estates at Fridley</t>
  </si>
  <si>
    <t>Estates at Anoka LLC dba Estates at Twin Rivers</t>
  </si>
  <si>
    <t>Park River Estates Care Center</t>
  </si>
  <si>
    <t>SUNNYSIDE CARE CENTER</t>
  </si>
  <si>
    <t>Frazee Care Center</t>
  </si>
  <si>
    <t>Essentia Health Oak Crossing</t>
  </si>
  <si>
    <t>Emmanuel Nursing Home</t>
  </si>
  <si>
    <t>GSS Blackduck</t>
  </si>
  <si>
    <t>Neilson Place</t>
  </si>
  <si>
    <t>Havenwood Care Center</t>
  </si>
  <si>
    <t>The Gardens at Foley LLC</t>
  </si>
  <si>
    <t>COUNTRY MANOR HEALTH AND REHAB CENTER</t>
  </si>
  <si>
    <t>Good Shepherd Lutheran Home</t>
  </si>
  <si>
    <t>Grace Home</t>
  </si>
  <si>
    <t>FAIRWAY VIEW NEIGHBORHOODS</t>
  </si>
  <si>
    <t>Pathstone Living</t>
  </si>
  <si>
    <t>Hillcrest Rehabilitation Center</t>
  </si>
  <si>
    <t>Mapleton Community Home</t>
  </si>
  <si>
    <t>Oaklawn Rehabilitation Center</t>
  </si>
  <si>
    <t>LAURELS PEAK REHABILITATION CENTER</t>
  </si>
  <si>
    <t>Oak Hills Living Center</t>
  </si>
  <si>
    <t>St. John Lutheran Home</t>
  </si>
  <si>
    <t>DIVINE PROVIDENCE COMMUNITY HOME</t>
  </si>
  <si>
    <t>Sleepy Eye Care Center</t>
  </si>
  <si>
    <t>AUGUSTANA MERCY CARE CENTER</t>
  </si>
  <si>
    <t>Inter-Faith Care Center</t>
  </si>
  <si>
    <t>Auburn Home in Waconia</t>
  </si>
  <si>
    <t>GSS Waconia</t>
  </si>
  <si>
    <t>Auburn Manor</t>
  </si>
  <si>
    <t>GSS Pine River</t>
  </si>
  <si>
    <t>CLARA CITY CARE CENTER</t>
  </si>
  <si>
    <t>Luther Haven</t>
  </si>
  <si>
    <t>The Estates at Rush City</t>
  </si>
  <si>
    <t>Parmly on the Lake</t>
  </si>
  <si>
    <t>Ecumen - North Branch</t>
  </si>
  <si>
    <t>Meadows On Fairview</t>
  </si>
  <si>
    <t>Viking Manor Nursing Home</t>
  </si>
  <si>
    <t>Valley Care and Rehab, LLC</t>
  </si>
  <si>
    <t>EVENTIDE LUTHERAN HOME OF MOORHEAD</t>
  </si>
  <si>
    <t>Cornerstone Nursing &amp; Rehab Center</t>
  </si>
  <si>
    <t>Cook County Hospital District dba North Shore Health</t>
  </si>
  <si>
    <t>GSS Mt Lake</t>
  </si>
  <si>
    <t>GSS Westbrook</t>
  </si>
  <si>
    <t>GSS Windom</t>
  </si>
  <si>
    <t>GSS Bethany</t>
  </si>
  <si>
    <t>Cuyuna Regional Medical Center</t>
  </si>
  <si>
    <t>GSS Woodland</t>
  </si>
  <si>
    <t>Ebenezer Ridges Care Center</t>
  </si>
  <si>
    <t>Southview Acres Health Care Center, Inc.</t>
  </si>
  <si>
    <t>Trinity Care Center</t>
  </si>
  <si>
    <t>Woodlyn Heights Healthcare Center</t>
  </si>
  <si>
    <t>AUGUSTANA HEALTH CARE CENTER OF APPLE VALLEY</t>
  </si>
  <si>
    <t>Regina Senior Living</t>
  </si>
  <si>
    <t>GSS Inver Grove</t>
  </si>
  <si>
    <t>AUGUSTANA HEALTH CARE CENTER OF HASTINGS</t>
  </si>
  <si>
    <t>Fairview Care Center</t>
  </si>
  <si>
    <t>Field Crest Care Center</t>
  </si>
  <si>
    <t>Knute Nelson</t>
  </si>
  <si>
    <t>Evansville Care Center</t>
  </si>
  <si>
    <t>Bethany on the Lake LLC</t>
  </si>
  <si>
    <t>Community Memorial Home at Osakis, MN</t>
  </si>
  <si>
    <t>St. Lukes Lutheran Care Center</t>
  </si>
  <si>
    <t>Parkview Care Center - Wells, Inc.</t>
  </si>
  <si>
    <t>HARMONY COMMUNITY HEALTHCARE, INC.</t>
  </si>
  <si>
    <t>Chosen Valley Care Center, Inc.</t>
  </si>
  <si>
    <t>Good Shepherd Lutheran Services</t>
  </si>
  <si>
    <t>Spring Valley Living</t>
  </si>
  <si>
    <t>Green Lea Manor, d.b.a. Mabel Healthcare</t>
  </si>
  <si>
    <t>Ostrander Nursing Home</t>
  </si>
  <si>
    <t>GSS Albert Lea</t>
  </si>
  <si>
    <t>Thorne Crest Retirement Center</t>
  </si>
  <si>
    <t>St. John's on Fountain Lake</t>
  </si>
  <si>
    <t>Lake City Medical Center - Mayo Health System</t>
  </si>
  <si>
    <t>Zumbrota Care Center</t>
  </si>
  <si>
    <t>St Crispin Living Community</t>
  </si>
  <si>
    <t>Pine Haven, Inc</t>
  </si>
  <si>
    <t>Barrett Care Center Inc</t>
  </si>
  <si>
    <t>Grand Avenue Rest Home</t>
  </si>
  <si>
    <t>EDENBROOK OF EDINA</t>
  </si>
  <si>
    <t>The Estates at Bloomington</t>
  </si>
  <si>
    <t>Martin Luther Care Center</t>
  </si>
  <si>
    <t>Southside Care Center</t>
  </si>
  <si>
    <t>Woodlake Healthcare and Rehab</t>
  </si>
  <si>
    <t>The Estates at Saint Louis Park</t>
  </si>
  <si>
    <t>The Estates at Excelsior</t>
  </si>
  <si>
    <t>Dynamic Health Concepts, Inc</t>
  </si>
  <si>
    <t>Courage Kenny Rehabilitation Institute-Transitional Rehabilitation Program</t>
  </si>
  <si>
    <t>Redeemer Residence, Inc.</t>
  </si>
  <si>
    <t>Fairview University Transitional Services</t>
  </si>
  <si>
    <t>Senior Care Providence Place</t>
  </si>
  <si>
    <t>Jones-Harrison Residence</t>
  </si>
  <si>
    <t>AUGUSTANA CHAPEL VIEW CARE CENTER</t>
  </si>
  <si>
    <t>The Villas at Richfield</t>
  </si>
  <si>
    <t>The Villa at Bryn Mawr</t>
  </si>
  <si>
    <t>Good Samaritan Society-Ambassador</t>
  </si>
  <si>
    <t>Victory Health &amp; Rehab</t>
  </si>
  <si>
    <t>Park Health, A Villa Center</t>
  </si>
  <si>
    <t>GSS Specialty Care</t>
  </si>
  <si>
    <t>HAVEN HOMES INC. DBA: HAVEN HOMES OF MAPLE PLAIN</t>
  </si>
  <si>
    <t>BENEDICTINE HEALTH CENTER OF MINNEAPOLIS</t>
  </si>
  <si>
    <t>MISSION FARMS NURSING HOME</t>
  </si>
  <si>
    <t>SHOLOM HOME WEST, INC.</t>
  </si>
  <si>
    <t>BYWOOD EAST HEALTH CARE</t>
  </si>
  <si>
    <t>Lake Minnetonka Shores</t>
  </si>
  <si>
    <t>Andrew Residence</t>
  </si>
  <si>
    <t>Lakehouse Healthcare and Rehabilitation Center</t>
  </si>
  <si>
    <t>Flagstone</t>
  </si>
  <si>
    <t>The Villas at The Cedars</t>
  </si>
  <si>
    <t>The Villas at Brookview</t>
  </si>
  <si>
    <t>THE ESTATES AT CHATEAU</t>
  </si>
  <si>
    <t>The Villas at Saint Louis Park</t>
  </si>
  <si>
    <t>Catholic Eldercare on main</t>
  </si>
  <si>
    <t>The Villas at Osseo</t>
  </si>
  <si>
    <t>Presbyterian Homes of Bloomington</t>
  </si>
  <si>
    <t>Mount Olivet Home</t>
  </si>
  <si>
    <t>Hopkins Health Services</t>
  </si>
  <si>
    <t>Minnesota Masonic Home Care Center</t>
  </si>
  <si>
    <t>The Villas at Robbinsdale</t>
  </si>
  <si>
    <t>LAKE MINNETONKA CARE CENTER</t>
  </si>
  <si>
    <t>North Ridge Skilled LLC</t>
  </si>
  <si>
    <t>MOUNT OLIVET CAREVIEW HOME</t>
  </si>
  <si>
    <t>MARANATHA CONSERVATIVE BAPTIST HOME, INC</t>
  </si>
  <si>
    <t>Ebenezer Integrated Care &amp; Rehab</t>
  </si>
  <si>
    <t>The Terrace at Crystal LLC</t>
  </si>
  <si>
    <t>Saint Therese of Oxbow Lake, LLC</t>
  </si>
  <si>
    <t>Allina Health Restorative Suites</t>
  </si>
  <si>
    <t>Trillium Woods</t>
  </si>
  <si>
    <t>Aurora on France</t>
  </si>
  <si>
    <t>Valley View Nursing Home of Houston, INC</t>
  </si>
  <si>
    <t>La Crescent Health Services</t>
  </si>
  <si>
    <t>TWEETEN LUTHERAN HEALTHCARE CENTER, INC.</t>
  </si>
  <si>
    <t>Heritage Living Center</t>
  </si>
  <si>
    <t>GracePointe Crossing Gables West</t>
  </si>
  <si>
    <t>Deer River Health Care Center, Inc.</t>
  </si>
  <si>
    <t>Bigfork Valley Communities</t>
  </si>
  <si>
    <t>The Emeralds at Grand Rapids</t>
  </si>
  <si>
    <t>Itasca Nursing Home D.B.A Grand Village</t>
  </si>
  <si>
    <t>Colonial Manor Nursing Home</t>
  </si>
  <si>
    <t>GSS Jackson</t>
  </si>
  <si>
    <t>Benedictine Living Community of Mora</t>
  </si>
  <si>
    <t>Bethesda Pleasant View</t>
  </si>
  <si>
    <t>Glen Oaks Senior Living Campus</t>
  </si>
  <si>
    <t>Cura of Willmar</t>
  </si>
  <si>
    <t>KITTSON MEMORIAL HEALTHCARE CENTER</t>
  </si>
  <si>
    <t>Karlstad Healthcare Center</t>
  </si>
  <si>
    <t>GSS International Falls</t>
  </si>
  <si>
    <t>Littlefork Medical Center</t>
  </si>
  <si>
    <t>Madison Healthcare Services</t>
  </si>
  <si>
    <t>Johnson Memorial Health Services</t>
  </si>
  <si>
    <t>The Waterview Shores LLC</t>
  </si>
  <si>
    <t>LAKEWOOD CARE CENTER</t>
  </si>
  <si>
    <t>Cura of Le Sueur</t>
  </si>
  <si>
    <t>CENTRAL HEALTH CARE of LeCENTER, INC.</t>
  </si>
  <si>
    <t>HENDRICKS COMMUNITY HOSPITAL ASSOCIATION AND RETIREMENT HOME</t>
  </si>
  <si>
    <t>Avera Sunrise Manor</t>
  </si>
  <si>
    <t>Tracy Healthcare Center</t>
  </si>
  <si>
    <t>AVERA MORNINGSIDE HEIGHTS CARE CENTER</t>
  </si>
  <si>
    <t>Gardens at Winsted</t>
  </si>
  <si>
    <t>Harmony River Living Center</t>
  </si>
  <si>
    <t>GLENCOE REGIONAL HEALTH SERVICES</t>
  </si>
  <si>
    <t>MAHNOMEN HEALTH CENTER</t>
  </si>
  <si>
    <t>North Star Manor</t>
  </si>
  <si>
    <t>Lakeview Methodist Health Care Center</t>
  </si>
  <si>
    <t>Truman Senior Living, Inc.</t>
  </si>
  <si>
    <t>Season Healthcare of Trimont, Inc</t>
  </si>
  <si>
    <t>Meeker Manor Rehabilitation Center</t>
  </si>
  <si>
    <t>Hilltop Health Care Center</t>
  </si>
  <si>
    <t>Augustana Dassel Lakeside Community Home</t>
  </si>
  <si>
    <t>Milaca Elim Meadows Health Care Center</t>
  </si>
  <si>
    <t>Elim Wellspring</t>
  </si>
  <si>
    <t>Mille Lacs Health System</t>
  </si>
  <si>
    <t>Little Falls Care Center</t>
  </si>
  <si>
    <t>Saint Otto's Care Center</t>
  </si>
  <si>
    <t>Pierz Villa, Inc</t>
  </si>
  <si>
    <t>Sacred Heart Care Center, Inc.</t>
  </si>
  <si>
    <t>St. Mark's Lutheran Home</t>
  </si>
  <si>
    <t>Grand Meadow Healthcare Center</t>
  </si>
  <si>
    <t>GSS Austin</t>
  </si>
  <si>
    <t>Maple Lawn Senior Care</t>
  </si>
  <si>
    <t>BENEDICTINE LIVING COMMUNITY OF ST PETER</t>
  </si>
  <si>
    <t>SOUTH SHORE CARE CENTER</t>
  </si>
  <si>
    <t>PARKVIEW MANOR NURSING HOME</t>
  </si>
  <si>
    <t>Halstad Living Center</t>
  </si>
  <si>
    <t>Bridges Care Center dba: Benedictine Care Community</t>
  </si>
  <si>
    <t>Rochester West Health Services</t>
  </si>
  <si>
    <t>Rochester East Health Services</t>
  </si>
  <si>
    <t>MADONNA TOWERS OF ROCHESTER</t>
  </si>
  <si>
    <t>Stewartville</t>
  </si>
  <si>
    <t>Maple Manor Nursing and Rehab, LLC</t>
  </si>
  <si>
    <t>Samaritan Bethany Home on Eighth</t>
  </si>
  <si>
    <t>ROCHESTER REHABILIATION AND LIVING CENTER</t>
  </si>
  <si>
    <t>PERHAM LIVING</t>
  </si>
  <si>
    <t>Pioneer Care Center</t>
  </si>
  <si>
    <t>GSS Battle Lake</t>
  </si>
  <si>
    <t>LB Broen Home</t>
  </si>
  <si>
    <t>Pelican Valley Health Center</t>
  </si>
  <si>
    <t>ST. WILLIAM'S LIVING CENTER</t>
  </si>
  <si>
    <t>Thief River Care Center</t>
  </si>
  <si>
    <t>Oakland Park Communities Inc</t>
  </si>
  <si>
    <t>Sandstone Health Care Center</t>
  </si>
  <si>
    <t>GSS Pipestone</t>
  </si>
  <si>
    <t>Edgebrook Care Center</t>
  </si>
  <si>
    <t>FAIR MEADOW NURSING HOME</t>
  </si>
  <si>
    <t>VILLA ST. VINCENT</t>
  </si>
  <si>
    <t>McIntosh Senior Living</t>
  </si>
  <si>
    <t>First Care Medical Services</t>
  </si>
  <si>
    <t>MINNEWASKA LUTHERAN HOME</t>
  </si>
  <si>
    <t>Glenwood Village Care Center</t>
  </si>
  <si>
    <t>Little Sisters of the Poor of St. Paul</t>
  </si>
  <si>
    <t>The Estates at Lynnhurst</t>
  </si>
  <si>
    <t>New Brighton Care Center</t>
  </si>
  <si>
    <t>The Villas at Saint Paul</t>
  </si>
  <si>
    <t>GSS Maplewood</t>
  </si>
  <si>
    <t>Emeralds at St Paul</t>
  </si>
  <si>
    <t>Episcopal Church Home of Minnesota</t>
  </si>
  <si>
    <t>Saint Anthony Park Home Inc.</t>
  </si>
  <si>
    <t>Hayes Residence</t>
  </si>
  <si>
    <t>St. Anthony Health Center</t>
  </si>
  <si>
    <t>Presbyterian Homes of Arden Hills</t>
  </si>
  <si>
    <t>Lyngblomsten Care Center</t>
  </si>
  <si>
    <t>Cerenity Care Center on Humboldt</t>
  </si>
  <si>
    <t>Maplewood Care Center</t>
  </si>
  <si>
    <t>The Villas at Roseville</t>
  </si>
  <si>
    <t>BENEDICTINE HEALTH CENTER AT INNSBRUCK</t>
  </si>
  <si>
    <t>Cerenity Care Center - White Bear Lake</t>
  </si>
  <si>
    <t>The Estates at Roseville</t>
  </si>
  <si>
    <t>The Villas at New Brighton</t>
  </si>
  <si>
    <t>New Harmony Care Center, Inc.</t>
  </si>
  <si>
    <t>SHOLOM HOME EAST, INC</t>
  </si>
  <si>
    <t>CERENITY CARE CENTER - MARIAN OF ST PAUL</t>
  </si>
  <si>
    <t>Highland Operations LLC</t>
  </si>
  <si>
    <t>Presbyterian Homes of North Oaks</t>
  </si>
  <si>
    <t>Carondelet Village Care Center</t>
  </si>
  <si>
    <t>Episcopal Church Home Gardens</t>
  </si>
  <si>
    <t>Langton Shores</t>
  </si>
  <si>
    <t>Wabasso Restorative Care Center</t>
  </si>
  <si>
    <t>MORGAN MEMORIAL FOUNDATION DBA GIL-MOR MANOR</t>
  </si>
  <si>
    <t>Parkview Home</t>
  </si>
  <si>
    <t>River Valley Health &amp; Rehab</t>
  </si>
  <si>
    <t>Valley View Manor</t>
  </si>
  <si>
    <t>Renvilla Health Center</t>
  </si>
  <si>
    <t>Olivia Restorative Care Center</t>
  </si>
  <si>
    <t>Franklin Restorative Care Center</t>
  </si>
  <si>
    <t>Buffalo Lake Healthcare Center</t>
  </si>
  <si>
    <t>Three Links Care Center</t>
  </si>
  <si>
    <t>The Emeralds at Faribault</t>
  </si>
  <si>
    <t>GSS Luverne</t>
  </si>
  <si>
    <t>TUFF MEMORIAL HOME</t>
  </si>
  <si>
    <t>LifeCare Greenbush Manor</t>
  </si>
  <si>
    <t>LifeCare Roseau Manor</t>
  </si>
  <si>
    <t>Warroad Care Center Inc</t>
  </si>
  <si>
    <t>Guardian Angels Health &amp; Rehab</t>
  </si>
  <si>
    <t>Chris Jensen Health &amp; Rehabilitation Center</t>
  </si>
  <si>
    <t>The Waterview Pines LLC</t>
  </si>
  <si>
    <t>Essentia Health Northern Pines</t>
  </si>
  <si>
    <t>Bayshore Residence and Rehab Center</t>
  </si>
  <si>
    <t>Monarch - North Shore Estates</t>
  </si>
  <si>
    <t>Forest Health Service D/B/A Cornerstone</t>
  </si>
  <si>
    <t>Franciscan Health Center</t>
  </si>
  <si>
    <t>Bayshore Health Center</t>
  </si>
  <si>
    <t>The Waterview Woods LLC</t>
  </si>
  <si>
    <t>Boundary Waters Care Center</t>
  </si>
  <si>
    <t>Heritage Manor</t>
  </si>
  <si>
    <t>VIRGINIA HOSPITAL COMMISSION CITY OF VIR</t>
  </si>
  <si>
    <t>Viewcrest Health Center</t>
  </si>
  <si>
    <t>BENEDICTINE HEALTH CENTER</t>
  </si>
  <si>
    <t>Aftenro Home</t>
  </si>
  <si>
    <t>Cook Hospital</t>
  </si>
  <si>
    <t>The Lutheran Home Association</t>
  </si>
  <si>
    <t>Mala Strana Healthcare</t>
  </si>
  <si>
    <t>ST. GERTRUDE'S HEALTH &amp; REHAB CENTER</t>
  </si>
  <si>
    <t>Shakopee Friendship Manor</t>
  </si>
  <si>
    <t>GUARDIAN ANGELS CARE CENTER</t>
  </si>
  <si>
    <t>TALAHI NURSING &amp; REHAB CENTER LLC</t>
  </si>
  <si>
    <t>ST. BENEDICT'S SENIOR COMMUNITY</t>
  </si>
  <si>
    <t>Bayside Manor LLC</t>
  </si>
  <si>
    <t>BELGRADE NURSING HOME</t>
  </si>
  <si>
    <t>ASSUMPTION HOME, INC.</t>
  </si>
  <si>
    <t>MOTHER OF MERCY CAMPUS OF CARE</t>
  </si>
  <si>
    <t>CentraCare Health System - Sauk Centre Nursing Home</t>
  </si>
  <si>
    <t>Cura of Melrose</t>
  </si>
  <si>
    <t>Sterling Park Healthcare Center</t>
  </si>
  <si>
    <t>Paynesville Health Care Center</t>
  </si>
  <si>
    <t>St Benedicts Senior Community Therapy Suites Sartell</t>
  </si>
  <si>
    <t>PRAIRIE MANOR INC</t>
  </si>
  <si>
    <t>Koda Living Community</t>
  </si>
  <si>
    <t>West Wind Village</t>
  </si>
  <si>
    <t>APPLETON AREA HEALTH</t>
  </si>
  <si>
    <t>Long Prairie Health Care Center</t>
  </si>
  <si>
    <t>Central Todd County Care Center, Inc.</t>
  </si>
  <si>
    <t>Browns Valley Health Center</t>
  </si>
  <si>
    <t>TRAVERSE CARE CENTER</t>
  </si>
  <si>
    <t>The Green Prairie Rehab Center</t>
  </si>
  <si>
    <t>ST. ELIZABETH HOSPITAL OF WABASHA, INC</t>
  </si>
  <si>
    <t>Lakewood Health System Care Center</t>
  </si>
  <si>
    <t>Green Pine Acres Nursing Home</t>
  </si>
  <si>
    <t>Fair Oaks Nursing and Rehab, LLC</t>
  </si>
  <si>
    <t>Lakeshore Rehabilitation Center</t>
  </si>
  <si>
    <t>Whispering Creek</t>
  </si>
  <si>
    <t>New Richland Care Center</t>
  </si>
  <si>
    <t>The Estates at Greeley (Stillwater)</t>
  </si>
  <si>
    <t>The Estates at Linden</t>
  </si>
  <si>
    <t>GSS Stillwater</t>
  </si>
  <si>
    <t>Senior Care Forest Lake, LLC</t>
  </si>
  <si>
    <t>Senior Care Woodbury, LLC</t>
  </si>
  <si>
    <t>The Gables at Boutwells Landing</t>
  </si>
  <si>
    <t>Saint Therese of Woodbury LLC</t>
  </si>
  <si>
    <t>Norris Square</t>
  </si>
  <si>
    <t>GSS St James</t>
  </si>
  <si>
    <t>Living Meadows at Luther</t>
  </si>
  <si>
    <t>ST. FRANCIS HOME</t>
  </si>
  <si>
    <t>SAUER HEALTH CARE</t>
  </si>
  <si>
    <t>LAKE WINONA MANOR</t>
  </si>
  <si>
    <t>SAINT ANNE EXTENDED HEALTHCARE</t>
  </si>
  <si>
    <t>Whitewater Health Services</t>
  </si>
  <si>
    <t>GSS Howard Lake</t>
  </si>
  <si>
    <t>Cura of Monticello</t>
  </si>
  <si>
    <t>Park View Care Center</t>
  </si>
  <si>
    <t>Annandale Care Center</t>
  </si>
  <si>
    <t>The Estates at Delano</t>
  </si>
  <si>
    <t>Lake Ridge Care Center of Buffalo, Inc.</t>
  </si>
  <si>
    <t>Cokato Manor</t>
  </si>
  <si>
    <t>CLARKFIELD CARE CENTER</t>
  </si>
  <si>
    <t>Sanford Health Network dba Sanford Canby Medical Center</t>
  </si>
  <si>
    <t>AVERA GRANITE FALLS CARE CENTER</t>
  </si>
  <si>
    <t>Average</t>
  </si>
  <si>
    <t>Freestanding VS Hospital</t>
  </si>
  <si>
    <t>AITKIN HEALTH SERVICES</t>
  </si>
  <si>
    <t>F</t>
  </si>
  <si>
    <t>Aicota Health Care Center</t>
  </si>
  <si>
    <t>Crest View Lutheran Home</t>
  </si>
  <si>
    <t>Anoka Rehab &amp; Living Center</t>
  </si>
  <si>
    <t>The Estates at Fridley LLC</t>
  </si>
  <si>
    <t>THE ESTATES AT TWIN RIVERS LLC</t>
  </si>
  <si>
    <t>Sunnyside Care Center</t>
  </si>
  <si>
    <t>H</t>
  </si>
  <si>
    <t>Good Sam Society Blackduck</t>
  </si>
  <si>
    <t>THE GARDENS AT FOLEY LLC</t>
  </si>
  <si>
    <t>Country Manor Hlth &amp; Rehab Ctr</t>
  </si>
  <si>
    <t>Essentia Health Grace Home</t>
  </si>
  <si>
    <t>Fairway View Neighborhoods</t>
  </si>
  <si>
    <t>HILLCREST CARE AND REHAB CENTER</t>
  </si>
  <si>
    <t>OAKLAWN CARE AND REHAB CENTER</t>
  </si>
  <si>
    <t>LAURELS PEAK CARE AND REHAB CTR</t>
  </si>
  <si>
    <t>St John Lutheran Home</t>
  </si>
  <si>
    <t>Divine Providence Comm Home</t>
  </si>
  <si>
    <t>Sleepy Eye Rehabilitation Center</t>
  </si>
  <si>
    <t>MOOSE LAKE VILLAGE</t>
  </si>
  <si>
    <t>Interfaith Care Center</t>
  </si>
  <si>
    <t>Auburn Home In Waconia</t>
  </si>
  <si>
    <t>Good Sam Society Waconia</t>
  </si>
  <si>
    <t>Good Sam Society Pine River</t>
  </si>
  <si>
    <t>Clara City Care Center</t>
  </si>
  <si>
    <t>THE ESTATES AT RUSH CITY LLC</t>
  </si>
  <si>
    <t>Parmly on the Lake LLC</t>
  </si>
  <si>
    <t>Ecumen North Branch</t>
  </si>
  <si>
    <t>Meadows on Fairview</t>
  </si>
  <si>
    <t>Eventide Lutheran Home</t>
  </si>
  <si>
    <t>Cornerstone Nsg &amp; Rehab Center</t>
  </si>
  <si>
    <t>NORTH SHORE HEALTH</t>
  </si>
  <si>
    <t>Good Sam Society Mt Lake</t>
  </si>
  <si>
    <t>Good Sam Society Westbrook</t>
  </si>
  <si>
    <t>Good Sam Society Windom</t>
  </si>
  <si>
    <t>Good Sam Society Bethany</t>
  </si>
  <si>
    <t>Good Sam Society Woodland</t>
  </si>
  <si>
    <t>Ebenezer Ridges Geriatric CC</t>
  </si>
  <si>
    <t>Southview Acres Hlth Care Ctr</t>
  </si>
  <si>
    <t>Woodlyn Heights Healthcare Ctr</t>
  </si>
  <si>
    <t>Augustana HCC Of Apple Valley</t>
  </si>
  <si>
    <t>Good Sam Society Inver Gr Hgts</t>
  </si>
  <si>
    <t>Augustana HCC Of Hastings</t>
  </si>
  <si>
    <t>Galeon</t>
  </si>
  <si>
    <t>St Lukes Lutheran Care Center</t>
  </si>
  <si>
    <t>PARKVIEW CARE CENTER WELLS</t>
  </si>
  <si>
    <t>GUNDERSEN HARMONY CARE CENTER</t>
  </si>
  <si>
    <t>Chosen Valley Care Center</t>
  </si>
  <si>
    <t>Spring Valley Care Center</t>
  </si>
  <si>
    <t>GREEN LEA SENIOR LIVING</t>
  </si>
  <si>
    <t>Ostrander Care And Rehab</t>
  </si>
  <si>
    <t>Good Sam Society Albert Lea</t>
  </si>
  <si>
    <t>THORNE CREST RETIREMENT CENTER</t>
  </si>
  <si>
    <t>St Johns on Fountain Lake</t>
  </si>
  <si>
    <t>MAYO CLINIC HEALTH SYS LAKE CI</t>
  </si>
  <si>
    <t>BAY VIEW NURSING and REHAB CTR</t>
  </si>
  <si>
    <t>St. Crispin Living Community</t>
  </si>
  <si>
    <t>Pine Haven Care Center Inc</t>
  </si>
  <si>
    <t>not to be done</t>
  </si>
  <si>
    <t>Grand Ave Rest Home</t>
  </si>
  <si>
    <t>Edenbrook Of Edina</t>
  </si>
  <si>
    <t>St Therese Home</t>
  </si>
  <si>
    <t>The Estates at St Louis Park</t>
  </si>
  <si>
    <t>THE ESTATES AT EXCELSIOR LLC</t>
  </si>
  <si>
    <t>Birchwood Care Home</t>
  </si>
  <si>
    <t>COURAGE KENNY REHAB INST TRP</t>
  </si>
  <si>
    <t>Redeemer Residence Inc</t>
  </si>
  <si>
    <t>Fairview University Trans Serv</t>
  </si>
  <si>
    <t>Providence Place</t>
  </si>
  <si>
    <t>Jones Harrison Residence</t>
  </si>
  <si>
    <t>Augustana Chapel View Care Ctr</t>
  </si>
  <si>
    <t>The Villas at Bryn Mawr</t>
  </si>
  <si>
    <t>Good Sam Society Ambassador</t>
  </si>
  <si>
    <t>Victory Health and Rehab Ctr.</t>
  </si>
  <si>
    <t>The Villas at The Park</t>
  </si>
  <si>
    <t>Good Sam Socty Spec Care Comm</t>
  </si>
  <si>
    <t>Haven Homes Of Maple Plain</t>
  </si>
  <si>
    <t>Benedictine Health Ctr Of Mpls</t>
  </si>
  <si>
    <t>Mission Nursing Home</t>
  </si>
  <si>
    <t>Sholom Home West</t>
  </si>
  <si>
    <t>Bywood East Health Care</t>
  </si>
  <si>
    <t>LAKEHOUSE HLTHCARE and REHAB</t>
  </si>
  <si>
    <t>The Villa at Brookview</t>
  </si>
  <si>
    <t>THE ESTATES AT CHATEAU LLC</t>
  </si>
  <si>
    <t>The Villas at St louis Park</t>
  </si>
  <si>
    <t>Catholic Eldercare On Main</t>
  </si>
  <si>
    <t>Presb Homes Of Bloomington</t>
  </si>
  <si>
    <t>Minnesota Masonic Home Care Ct</t>
  </si>
  <si>
    <t>Lake Minnetonka Care Center dba Hope Springs at Minnetonka</t>
  </si>
  <si>
    <t>North Ridge Health And Rehab</t>
  </si>
  <si>
    <t>Mount Olivet Careview Home</t>
  </si>
  <si>
    <t>Maranatha Care Center</t>
  </si>
  <si>
    <t>Ebenezer Integrated Care and Rehab</t>
  </si>
  <si>
    <t>Terrace at Crystal</t>
  </si>
  <si>
    <t>THE BIRCHES AT TRILLIUM WOODS</t>
  </si>
  <si>
    <t>Valley View Healthcare &amp; Rehab</t>
  </si>
  <si>
    <t>Tweeten Lutheran Health C C</t>
  </si>
  <si>
    <t>GracePointe Crossing Gables</t>
  </si>
  <si>
    <t>Deer River Health Care Center</t>
  </si>
  <si>
    <t>Grand Village</t>
  </si>
  <si>
    <t>Good Sam Society Jackson</t>
  </si>
  <si>
    <t>St Clare Living Community Of Mora</t>
  </si>
  <si>
    <t>Bethesda</t>
  </si>
  <si>
    <t>Glenoaks Senior Living Campus</t>
  </si>
  <si>
    <t>Kittson Memorial Hospital</t>
  </si>
  <si>
    <t>Karlstad Healthcare Ctr Inc</t>
  </si>
  <si>
    <t>Good Sam Society Intl Falls</t>
  </si>
  <si>
    <t>MADISON HEALTHCARE SERVICES</t>
  </si>
  <si>
    <t>Johnson Memorial Hosp &amp; Home</t>
  </si>
  <si>
    <t>The Waterview Shores</t>
  </si>
  <si>
    <t>Lakewood Care Center</t>
  </si>
  <si>
    <t>CURA OF LE SUEUR</t>
  </si>
  <si>
    <t>Central Health Care</t>
  </si>
  <si>
    <t>Hendricks Comm Hosp</t>
  </si>
  <si>
    <t>AVERA TYLER HOSPITAL</t>
  </si>
  <si>
    <t>Prairie View Senior Living</t>
  </si>
  <si>
    <t>Avera Marshall Reg Med Center</t>
  </si>
  <si>
    <t>The Gardens at Winsted LLC</t>
  </si>
  <si>
    <t>Glencoe Regional Health Srvcs</t>
  </si>
  <si>
    <t>Mahnomen Health Center</t>
  </si>
  <si>
    <t>Lakeview Methodist HCC</t>
  </si>
  <si>
    <t>Truman Senior Living</t>
  </si>
  <si>
    <t>Seasons Healthcare</t>
  </si>
  <si>
    <t>Meeker Manor Rehab Center LLC</t>
  </si>
  <si>
    <t>Lakeside Generations</t>
  </si>
  <si>
    <t>Elim Home - Milaca</t>
  </si>
  <si>
    <t>Elim Home</t>
  </si>
  <si>
    <t>ST OTTOS CARE CENTER INC</t>
  </si>
  <si>
    <t>Pierz Villa Inc</t>
  </si>
  <si>
    <t>Sacred Heart Care Center Inc</t>
  </si>
  <si>
    <t>St Marks Lutheran Home</t>
  </si>
  <si>
    <t>Meadow Manor</t>
  </si>
  <si>
    <t>Good Sam Society Comforcare</t>
  </si>
  <si>
    <t>Maple Lawn Nursing Home</t>
  </si>
  <si>
    <t>Benedictine Living Community</t>
  </si>
  <si>
    <t>South Shore Care Center</t>
  </si>
  <si>
    <t>Parkview Manor Nursing Home</t>
  </si>
  <si>
    <t>Benedictine Care Community</t>
  </si>
  <si>
    <t>ROCHESTER EAST HLTH SVCS</t>
  </si>
  <si>
    <t>Stewartville Care Center</t>
  </si>
  <si>
    <t>MAPLE MANOR NURSING AND REHAB</t>
  </si>
  <si>
    <t>Samaritan Bethany Home On Eighth</t>
  </si>
  <si>
    <t>Rochester Rehab and Living Center</t>
  </si>
  <si>
    <t>Perham Living</t>
  </si>
  <si>
    <t>Good Sam Society Battle Lake</t>
  </si>
  <si>
    <t>St Williams Living Center</t>
  </si>
  <si>
    <t>Good Sam Society Pipestone</t>
  </si>
  <si>
    <t>Fair Meadow Nursing Home</t>
  </si>
  <si>
    <t>Villa St Vincent</t>
  </si>
  <si>
    <t>Mcintosh Senior Living</t>
  </si>
  <si>
    <t>Essentia Health Fosston</t>
  </si>
  <si>
    <t>Minnewaska Lutheran Home</t>
  </si>
  <si>
    <t>Little Sisters Of The Poor</t>
  </si>
  <si>
    <t>THE ESTATES AT LYNNHURST LLC</t>
  </si>
  <si>
    <t>The Villas at St Paul</t>
  </si>
  <si>
    <t>Good Sam Society Maplewood</t>
  </si>
  <si>
    <t>The Emeralds at St. Paul</t>
  </si>
  <si>
    <t>Episcopal Church Home Of MN</t>
  </si>
  <si>
    <t>St Anthony Park Home</t>
  </si>
  <si>
    <t>ST ANTHONY HEALTH AND REHAB</t>
  </si>
  <si>
    <t>Presby Homes Of Arden Hills</t>
  </si>
  <si>
    <t>Cerenity Care Ctr On Humboldt</t>
  </si>
  <si>
    <t>Maplewood Rehabilitation Center</t>
  </si>
  <si>
    <t>Benedictine Hlth Ctr Innsbruck</t>
  </si>
  <si>
    <t>Cerenity Care Center WBL</t>
  </si>
  <si>
    <t>THE ESTATES AT ROSEVILLE LLC</t>
  </si>
  <si>
    <t>Harmony Gardens</t>
  </si>
  <si>
    <t>Shirley Chapman Sholom Hm East</t>
  </si>
  <si>
    <t>CERENITY MARIAN ST PAUL LLC</t>
  </si>
  <si>
    <t>Highland Chateau Health and Rehab Ctr</t>
  </si>
  <si>
    <t>Presbyterian Homes North Oaks</t>
  </si>
  <si>
    <t>GIL MOR MANOR</t>
  </si>
  <si>
    <t>River Valley Health and Rehab</t>
  </si>
  <si>
    <t>VALLEY VIEW MANOR HCC</t>
  </si>
  <si>
    <t>Buffalo Lake Healthcare Ctr</t>
  </si>
  <si>
    <t>Good Sam Society Mary Jane Brown</t>
  </si>
  <si>
    <t>Tuff Memorial Home</t>
  </si>
  <si>
    <t>Lifecare Greenbush Manor</t>
  </si>
  <si>
    <t>Lifecare Medical Center</t>
  </si>
  <si>
    <t>WARROAD CARE CENTER</t>
  </si>
  <si>
    <t>HILLTOP HEALTHCARE REHAB Jensen Health LLC</t>
  </si>
  <si>
    <t>The Waterview Pines</t>
  </si>
  <si>
    <t>Bayshore Residence &amp; Rehab Ctr</t>
  </si>
  <si>
    <t>THE NORTH SHORE ESTATES LLC</t>
  </si>
  <si>
    <t>Cornerstone Villa</t>
  </si>
  <si>
    <t>BAYSHORE HEALTH CENTER RULE 80</t>
  </si>
  <si>
    <t>The Waterview Woods</t>
  </si>
  <si>
    <t>Essentia Health Virginia</t>
  </si>
  <si>
    <t>Benedictine Health Center</t>
  </si>
  <si>
    <t>The Lutheran Home Belle Plaine</t>
  </si>
  <si>
    <t>MALA STRANA CARE AND REHAB CTR</t>
  </si>
  <si>
    <t>St Gertrudes Hlth &amp; Rehab Ctr</t>
  </si>
  <si>
    <t>Guardian Angels Care Center</t>
  </si>
  <si>
    <t>Talahi Nursing &amp; Rehab Center</t>
  </si>
  <si>
    <t>St Benedicts Care Center</t>
  </si>
  <si>
    <t>Belgrade Nursing Home</t>
  </si>
  <si>
    <t>Assumption Home</t>
  </si>
  <si>
    <t>MOTHER OF MERCY SENIOR LIVING</t>
  </si>
  <si>
    <t>Centracare Health System</t>
  </si>
  <si>
    <t>Sterling Park HCC</t>
  </si>
  <si>
    <t>Premier Healthcare Mgmt of Paynesville LLC</t>
  </si>
  <si>
    <t>Sartell Therapy Suites</t>
  </si>
  <si>
    <t>Not to be done</t>
  </si>
  <si>
    <t>Prairie Manor Care Center</t>
  </si>
  <si>
    <t>Appleton Area Health</t>
  </si>
  <si>
    <t>Centracare Health System-Long</t>
  </si>
  <si>
    <t>Central Todd Co Care Center</t>
  </si>
  <si>
    <t>Traverse Care Center</t>
  </si>
  <si>
    <t>St Elizabeths Medical Center</t>
  </si>
  <si>
    <t>Lakewood Health System</t>
  </si>
  <si>
    <t>FAIR OAKS NURSING and REHAB LLC</t>
  </si>
  <si>
    <t>LAKESHORE REHABILITATION CTR</t>
  </si>
  <si>
    <t>NEW RICHLAND CARE CENTER</t>
  </si>
  <si>
    <t>THE ESTATES AT GREELEY LLC</t>
  </si>
  <si>
    <t>THE ESTATES AT LINDEN LLC</t>
  </si>
  <si>
    <t>Good Sam Society Stillwater</t>
  </si>
  <si>
    <t>Birchwood Health Care Center</t>
  </si>
  <si>
    <t>Woodbury Health Care Center</t>
  </si>
  <si>
    <t>GABLES OF BOUTWELLS LANDING</t>
  </si>
  <si>
    <t>ST THERESE OF WOODBURY LLC</t>
  </si>
  <si>
    <t>Good Sam Society St James</t>
  </si>
  <si>
    <t>St Francis Home</t>
  </si>
  <si>
    <t>Sauer Health Care</t>
  </si>
  <si>
    <t>Lake Winona Manor</t>
  </si>
  <si>
    <t>Saint Anne Extended Healthcare</t>
  </si>
  <si>
    <t>Good Sam Society Howard Lake</t>
  </si>
  <si>
    <t>CENTRACARE HEALTH MONTICELLO</t>
  </si>
  <si>
    <t>THE ESTATES AT DELANO LLC</t>
  </si>
  <si>
    <t>Lake Ridge Care Ctr Of Buffalo</t>
  </si>
  <si>
    <t>Clarkfield Care Center</t>
  </si>
  <si>
    <t>Sanford Canby Medical Center</t>
  </si>
  <si>
    <t>Avera Granite Falls Care Center</t>
  </si>
  <si>
    <t>Community Memorial Hospital</t>
  </si>
  <si>
    <t>Northfield Care Center Inc</t>
  </si>
  <si>
    <t>Northfield City Hospital &amp; Nsg</t>
  </si>
  <si>
    <t>Meadow Lane Restorative Care Center</t>
  </si>
  <si>
    <t>Pioneer Memorial Care Center</t>
  </si>
  <si>
    <t>Riverview Hospital &amp; Nsg Home</t>
  </si>
  <si>
    <t>Terrace at Cannon Falls</t>
  </si>
  <si>
    <t>Pine View Rehab and Senior Living</t>
  </si>
  <si>
    <t>Good Sam Society Arlington</t>
  </si>
  <si>
    <t>St Johns Lutheran Home</t>
  </si>
  <si>
    <t>Crossroads Care Center</t>
  </si>
  <si>
    <t>Moorhead Restorative Care Center</t>
  </si>
  <si>
    <t>Applied filters: KYEAR equal to 2024</t>
  </si>
  <si>
    <t>SAS Report data ran 7/16/2025 for RYE 9/30/2024</t>
  </si>
  <si>
    <t>Tot Days</t>
  </si>
  <si>
    <t>Nh 1</t>
  </si>
  <si>
    <t>Nh 2</t>
  </si>
  <si>
    <t>Nh 3</t>
  </si>
  <si>
    <t>Nh 4</t>
  </si>
  <si>
    <t>Nh 5</t>
  </si>
  <si>
    <t>Nh 6</t>
  </si>
  <si>
    <t>Nh 7</t>
  </si>
  <si>
    <t>Nh 8</t>
  </si>
  <si>
    <t>Nh 9</t>
  </si>
  <si>
    <t>Nh 10</t>
  </si>
  <si>
    <t>Nh 11</t>
  </si>
  <si>
    <t>Nh 12</t>
  </si>
  <si>
    <t>Nh 13</t>
  </si>
  <si>
    <t>Nh 14</t>
  </si>
  <si>
    <t>Nh 15</t>
  </si>
  <si>
    <t>Nh 16</t>
  </si>
  <si>
    <t>Nh 17</t>
  </si>
  <si>
    <t>Nh 18</t>
  </si>
  <si>
    <t>Nh 19</t>
  </si>
  <si>
    <t>Nh 20</t>
  </si>
  <si>
    <t>Nh 21</t>
  </si>
  <si>
    <t>Nh 22</t>
  </si>
  <si>
    <t>Nh 23</t>
  </si>
  <si>
    <t>Nh 24</t>
  </si>
  <si>
    <t>Nh 25</t>
  </si>
  <si>
    <t>Nh 26</t>
  </si>
  <si>
    <t>Nh 27</t>
  </si>
  <si>
    <t>Nh 28</t>
  </si>
  <si>
    <t>Nh 29</t>
  </si>
  <si>
    <t>Nh 30</t>
  </si>
  <si>
    <t>Nh 31</t>
  </si>
  <si>
    <t>Nh 32</t>
  </si>
  <si>
    <t>Nh 33</t>
  </si>
  <si>
    <t>Nh 34</t>
  </si>
  <si>
    <t>Nh 35</t>
  </si>
  <si>
    <t>Nh 36</t>
  </si>
  <si>
    <t>Nh 37</t>
  </si>
  <si>
    <t>Nh 38</t>
  </si>
  <si>
    <t>Nh 39</t>
  </si>
  <si>
    <t>Nh 40</t>
  </si>
  <si>
    <t>Nh 41</t>
  </si>
  <si>
    <t>Nh 42</t>
  </si>
  <si>
    <t>Nh 43</t>
  </si>
  <si>
    <t>Nh 44</t>
  </si>
  <si>
    <t>Nh 45</t>
  </si>
  <si>
    <t>Nh 46</t>
  </si>
  <si>
    <t>Nh 47</t>
  </si>
  <si>
    <t>Nh 48</t>
  </si>
  <si>
    <t>Nh 49</t>
  </si>
  <si>
    <t>Nh 50</t>
  </si>
  <si>
    <t>Bc 1</t>
  </si>
  <si>
    <t>Bc 2</t>
  </si>
  <si>
    <t>Bc 3</t>
  </si>
  <si>
    <t>Bc 4</t>
  </si>
  <si>
    <t>Bc 5</t>
  </si>
  <si>
    <t>Bc 6</t>
  </si>
  <si>
    <t>Bc 7</t>
  </si>
  <si>
    <t>Bc 8</t>
  </si>
  <si>
    <t>Bc 9</t>
  </si>
  <si>
    <t>Bc 10</t>
  </si>
  <si>
    <t>Bc 11</t>
  </si>
  <si>
    <t>Bc 12</t>
  </si>
  <si>
    <t>Bc 13</t>
  </si>
  <si>
    <t>Bc 14</t>
  </si>
  <si>
    <t>Bc 15</t>
  </si>
  <si>
    <t>Bc 16</t>
  </si>
  <si>
    <t>Bc 17</t>
  </si>
  <si>
    <t>Bc 18</t>
  </si>
  <si>
    <t>Bc 19</t>
  </si>
  <si>
    <t>Bc 20</t>
  </si>
  <si>
    <t>Bc 21</t>
  </si>
  <si>
    <t>Bc 22</t>
  </si>
  <si>
    <t>Bc 23</t>
  </si>
  <si>
    <t>Bc 24</t>
  </si>
  <si>
    <t>Bc 25</t>
  </si>
  <si>
    <t>Bc 26</t>
  </si>
  <si>
    <t>Bc 27</t>
  </si>
  <si>
    <t>Bc 28</t>
  </si>
  <si>
    <t>Bc 29</t>
  </si>
  <si>
    <t>Bc 30</t>
  </si>
  <si>
    <t>Bc 31</t>
  </si>
  <si>
    <t>Bc 32</t>
  </si>
  <si>
    <t>Bc 33</t>
  </si>
  <si>
    <t>Bc 34</t>
  </si>
  <si>
    <t>Bc 35</t>
  </si>
  <si>
    <t>Bc 36</t>
  </si>
  <si>
    <t>Bc 37</t>
  </si>
  <si>
    <t>Bc 38</t>
  </si>
  <si>
    <t>Bc 39</t>
  </si>
  <si>
    <t>Bc 40</t>
  </si>
  <si>
    <t>Bc 41</t>
  </si>
  <si>
    <t>Bc 42</t>
  </si>
  <si>
    <t>Bc 43</t>
  </si>
  <si>
    <t>Bc 44</t>
  </si>
  <si>
    <t>Bc 45</t>
  </si>
  <si>
    <t>Bc 46</t>
  </si>
  <si>
    <t>Bc 47</t>
  </si>
  <si>
    <t>Bc 48</t>
  </si>
  <si>
    <t>Bc 49</t>
  </si>
  <si>
    <t>Bc 50</t>
  </si>
  <si>
    <t>SAS Report data ran 7/18/2025 for RYE 9/30/2024</t>
  </si>
  <si>
    <t>Ftemptotal</t>
  </si>
  <si>
    <t>Ptemptotal</t>
  </si>
  <si>
    <t>Tot Hrsn</t>
  </si>
  <si>
    <t>Tot Otherop Hrsn</t>
  </si>
  <si>
    <t>Frostbite Falls 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</si>
</sst>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%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Calibri"/>
      <family val="2"/>
    </font>
    <font>
      <b/>
      <sz val="12"/>
      <color rgb="FF002060"/>
      <name val="Aptos Narrow"/>
      <family val="2"/>
      <scheme val="minor"/>
    </font>
    <font>
      <b/>
      <sz val="14"/>
      <color rgb="FF002060"/>
      <name val="Aptos Narrow"/>
      <family val="2"/>
      <scheme val="minor"/>
    </font>
    <font>
      <b/>
      <u/>
      <sz val="12"/>
      <color rgb="FF00206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color rgb="FFFFFFFF"/>
      <name val="Aptos Narrow"/>
      <family val="2"/>
      <scheme val="minor"/>
    </font>
    <font>
      <b/>
      <sz val="11"/>
      <color rgb="FF1000E4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B3E59F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</cellStyleXfs>
  <cellXfs count="101">
    <xf numFmtId="0" fontId="0" fillId="0" borderId="0" xfId="0"/>
    <xf numFmtId="0" fontId="0" fillId="0" borderId="0" xfId="0"/>
    <xf numFmtId="0" fontId="4" fillId="0" borderId="0" xfId="0" applyFont="1"/>
    <xf numFmtId="0" fontId="0" fillId="0" borderId="2" xfId="0" applyFill="1" applyBorder="1"/>
    <xf numFmtId="0" fontId="0" fillId="0" borderId="3" xfId="0" applyFill="1" applyBorder="1"/>
    <xf numFmtId="0" fontId="0" fillId="0" borderId="0" xfId="0" applyFill="1"/>
    <xf numFmtId="0" fontId="0" fillId="0" borderId="5" xfId="0" applyBorder="1"/>
    <xf numFmtId="44" fontId="0" fillId="0" borderId="0" xfId="3" applyFont="1" applyAlignment="1">
      <alignment horizontal="center"/>
    </xf>
    <xf numFmtId="0" fontId="9" fillId="6" borderId="0" xfId="0" applyFont="1" applyFill="1"/>
    <xf numFmtId="10" fontId="0" fillId="0" borderId="0" xfId="4" applyNumberFormat="1" applyFont="1"/>
    <xf numFmtId="10" fontId="0" fillId="0" borderId="0" xfId="0" applyNumberFormat="1"/>
    <xf numFmtId="0" fontId="1" fillId="4" borderId="8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0" borderId="0" xfId="0" applyFont="1"/>
    <xf numFmtId="0" fontId="1" fillId="0" borderId="12" xfId="0" applyNumberFormat="1" applyFont="1" applyBorder="1" applyAlignment="1">
      <alignment horizontal="right"/>
    </xf>
    <xf numFmtId="44" fontId="1" fillId="0" borderId="13" xfId="0" applyNumberFormat="1" applyFont="1" applyBorder="1" applyAlignment="1">
      <alignment horizontal="right"/>
    </xf>
    <xf numFmtId="44" fontId="1" fillId="0" borderId="12" xfId="0" applyNumberFormat="1" applyFont="1" applyBorder="1" applyAlignment="1">
      <alignment horizontal="right"/>
    </xf>
    <xf numFmtId="0" fontId="0" fillId="0" borderId="0" xfId="0" applyNumberFormat="1"/>
    <xf numFmtId="0" fontId="1" fillId="5" borderId="9" xfId="0" applyFont="1" applyFill="1" applyBorder="1" applyAlignment="1">
      <alignment horizontal="center" vertical="top" wrapText="1"/>
    </xf>
    <xf numFmtId="0" fontId="0" fillId="0" borderId="0" xfId="0" applyFont="1"/>
    <xf numFmtId="44" fontId="0" fillId="0" borderId="1" xfId="3" applyFont="1" applyBorder="1" applyAlignment="1"/>
    <xf numFmtId="0" fontId="1" fillId="0" borderId="8" xfId="0" applyFont="1" applyFill="1" applyBorder="1" applyAlignment="1">
      <alignment horizontal="center" vertical="top" wrapText="1"/>
    </xf>
    <xf numFmtId="0" fontId="6" fillId="2" borderId="0" xfId="0" applyFont="1" applyFill="1"/>
    <xf numFmtId="0" fontId="0" fillId="3" borderId="0" xfId="0" applyFont="1" applyFill="1" applyBorder="1"/>
    <xf numFmtId="0" fontId="0" fillId="3" borderId="6" xfId="0" applyFont="1" applyFill="1" applyBorder="1"/>
    <xf numFmtId="164" fontId="0" fillId="3" borderId="6" xfId="4" applyNumberFormat="1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164" fontId="0" fillId="3" borderId="0" xfId="4" applyNumberFormat="1" applyFont="1" applyFill="1" applyBorder="1" applyAlignment="1">
      <alignment horizontal="center"/>
    </xf>
    <xf numFmtId="44" fontId="0" fillId="0" borderId="4" xfId="0" applyNumberFormat="1" applyBorder="1" applyAlignment="1"/>
    <xf numFmtId="44" fontId="0" fillId="0" borderId="1" xfId="0" applyNumberFormat="1" applyBorder="1" applyAlignment="1"/>
    <xf numFmtId="44" fontId="0" fillId="0" borderId="2" xfId="0" applyNumberFormat="1" applyBorder="1" applyAlignment="1"/>
    <xf numFmtId="0" fontId="0" fillId="0" borderId="1" xfId="0" applyBorder="1" applyAlignment="1">
      <alignment horizontal="center"/>
    </xf>
    <xf numFmtId="3" fontId="0" fillId="0" borderId="0" xfId="0" applyNumberFormat="1"/>
    <xf numFmtId="0" fontId="0" fillId="2" borderId="0" xfId="0" applyFill="1"/>
    <xf numFmtId="10" fontId="0" fillId="2" borderId="0" xfId="0" applyNumberFormat="1" applyFill="1"/>
    <xf numFmtId="10" fontId="0" fillId="0" borderId="1" xfId="4" applyNumberFormat="1" applyFont="1" applyFill="1" applyBorder="1" applyAlignment="1">
      <alignment horizontal="center"/>
    </xf>
    <xf numFmtId="10" fontId="1" fillId="0" borderId="12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44" fontId="0" fillId="0" borderId="1" xfId="3" applyFont="1" applyBorder="1"/>
    <xf numFmtId="0" fontId="1" fillId="0" borderId="5" xfId="0" applyFont="1" applyBorder="1"/>
    <xf numFmtId="0" fontId="6" fillId="0" borderId="0" xfId="0" applyFont="1" applyFill="1"/>
    <xf numFmtId="0" fontId="0" fillId="0" borderId="0" xfId="0" applyAlignment="1">
      <alignment horizontal="left" indent="1"/>
    </xf>
    <xf numFmtId="0" fontId="0" fillId="7" borderId="0" xfId="0" applyFill="1"/>
    <xf numFmtId="0" fontId="1" fillId="7" borderId="12" xfId="0" applyFont="1" applyFill="1" applyBorder="1"/>
    <xf numFmtId="0" fontId="1" fillId="7" borderId="12" xfId="0" applyNumberFormat="1" applyFont="1" applyFill="1" applyBorder="1"/>
    <xf numFmtId="2" fontId="1" fillId="7" borderId="12" xfId="0" applyNumberFormat="1" applyFont="1" applyFill="1" applyBorder="1" applyAlignment="1">
      <alignment horizontal="center"/>
    </xf>
    <xf numFmtId="0" fontId="1" fillId="7" borderId="12" xfId="0" applyFont="1" applyFill="1" applyBorder="1" applyAlignment="1">
      <alignment horizontal="center"/>
    </xf>
    <xf numFmtId="10" fontId="1" fillId="7" borderId="12" xfId="0" applyNumberFormat="1" applyFont="1" applyFill="1" applyBorder="1" applyAlignment="1">
      <alignment horizontal="center"/>
    </xf>
    <xf numFmtId="0" fontId="1" fillId="7" borderId="12" xfId="0" applyNumberFormat="1" applyFont="1" applyFill="1" applyBorder="1" applyAlignment="1">
      <alignment horizontal="center"/>
    </xf>
    <xf numFmtId="0" fontId="1" fillId="7" borderId="11" xfId="0" applyFont="1" applyFill="1" applyBorder="1"/>
    <xf numFmtId="0" fontId="1" fillId="0" borderId="0" xfId="0" applyFont="1" applyFill="1" applyBorder="1"/>
    <xf numFmtId="0" fontId="3" fillId="0" borderId="14" xfId="0" applyFont="1" applyFill="1" applyBorder="1"/>
    <xf numFmtId="0" fontId="0" fillId="0" borderId="14" xfId="0" applyBorder="1"/>
    <xf numFmtId="3" fontId="0" fillId="0" borderId="15" xfId="0" applyNumberFormat="1" applyBorder="1"/>
    <xf numFmtId="0" fontId="0" fillId="0" borderId="15" xfId="0" applyBorder="1"/>
    <xf numFmtId="0" fontId="3" fillId="0" borderId="0" xfId="0" applyFont="1" applyFill="1" applyBorder="1"/>
    <xf numFmtId="0" fontId="0" fillId="0" borderId="0" xfId="0" applyBorder="1"/>
    <xf numFmtId="0" fontId="0" fillId="4" borderId="16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 wrapText="1"/>
    </xf>
    <xf numFmtId="0" fontId="0" fillId="0" borderId="19" xfId="0" applyFill="1" applyBorder="1"/>
    <xf numFmtId="0" fontId="0" fillId="0" borderId="21" xfId="0" applyFill="1" applyBorder="1"/>
    <xf numFmtId="2" fontId="0" fillId="0" borderId="0" xfId="0" applyNumberFormat="1"/>
    <xf numFmtId="2" fontId="0" fillId="0" borderId="5" xfId="0" applyNumberFormat="1" applyBorder="1"/>
    <xf numFmtId="4" fontId="0" fillId="0" borderId="0" xfId="0" applyNumberFormat="1"/>
    <xf numFmtId="4" fontId="0" fillId="0" borderId="5" xfId="0" applyNumberFormat="1" applyBorder="1"/>
    <xf numFmtId="14" fontId="0" fillId="0" borderId="0" xfId="0" applyNumberFormat="1"/>
    <xf numFmtId="0" fontId="0" fillId="8" borderId="1" xfId="0" applyFill="1" applyBorder="1"/>
    <xf numFmtId="0" fontId="1" fillId="8" borderId="12" xfId="0" applyFont="1" applyFill="1" applyBorder="1"/>
    <xf numFmtId="0" fontId="1" fillId="9" borderId="8" xfId="0" applyFont="1" applyFill="1" applyBorder="1" applyAlignment="1">
      <alignment horizontal="center" vertical="top" wrapText="1"/>
    </xf>
    <xf numFmtId="0" fontId="0" fillId="7" borderId="4" xfId="0" applyFill="1" applyBorder="1" applyAlignment="1" applyProtection="1">
      <alignment horizontal="center"/>
      <protection locked="0"/>
    </xf>
    <xf numFmtId="0" fontId="0" fillId="7" borderId="2" xfId="0" applyFill="1" applyBorder="1" applyProtection="1">
      <protection locked="0"/>
    </xf>
    <xf numFmtId="0" fontId="0" fillId="7" borderId="3" xfId="0" applyFill="1" applyBorder="1" applyProtection="1">
      <protection locked="0"/>
    </xf>
    <xf numFmtId="0" fontId="0" fillId="7" borderId="1" xfId="0" applyFill="1" applyBorder="1" applyProtection="1">
      <protection locked="0"/>
    </xf>
    <xf numFmtId="10" fontId="0" fillId="7" borderId="20" xfId="4" applyNumberFormat="1" applyFont="1" applyFill="1" applyBorder="1" applyAlignment="1" applyProtection="1">
      <alignment horizontal="center"/>
      <protection locked="0"/>
    </xf>
    <xf numFmtId="0" fontId="0" fillId="7" borderId="12" xfId="0" applyFill="1" applyBorder="1" applyProtection="1">
      <protection locked="0"/>
    </xf>
    <xf numFmtId="10" fontId="0" fillId="7" borderId="22" xfId="4" applyNumberFormat="1" applyFont="1" applyFill="1" applyBorder="1" applyAlignment="1" applyProtection="1">
      <alignment horizontal="center"/>
      <protection locked="0"/>
    </xf>
    <xf numFmtId="44" fontId="0" fillId="7" borderId="1" xfId="3" applyFont="1" applyFill="1" applyBorder="1" applyProtection="1">
      <protection locked="0"/>
    </xf>
    <xf numFmtId="14" fontId="0" fillId="7" borderId="1" xfId="0" applyNumberFormat="1" applyFill="1" applyBorder="1" applyProtection="1">
      <protection locked="0"/>
    </xf>
    <xf numFmtId="2" fontId="0" fillId="7" borderId="1" xfId="2" applyNumberFormat="1" applyFont="1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10" fontId="0" fillId="7" borderId="1" xfId="4" applyNumberFormat="1" applyFont="1" applyFill="1" applyBorder="1" applyAlignment="1" applyProtection="1">
      <alignment horizontal="center"/>
      <protection locked="0"/>
    </xf>
    <xf numFmtId="0" fontId="0" fillId="7" borderId="10" xfId="0" applyFill="1" applyBorder="1" applyProtection="1">
      <protection locked="0"/>
    </xf>
    <xf numFmtId="0" fontId="0" fillId="7" borderId="4" xfId="0" applyFill="1" applyBorder="1" applyProtection="1">
      <protection locked="0"/>
    </xf>
    <xf numFmtId="44" fontId="0" fillId="7" borderId="4" xfId="3" applyFont="1" applyFill="1" applyBorder="1" applyProtection="1">
      <protection locked="0"/>
    </xf>
    <xf numFmtId="14" fontId="0" fillId="7" borderId="4" xfId="0" applyNumberFormat="1" applyFill="1" applyBorder="1" applyProtection="1">
      <protection locked="0"/>
    </xf>
    <xf numFmtId="2" fontId="0" fillId="7" borderId="4" xfId="2" applyNumberFormat="1" applyFont="1" applyFill="1" applyBorder="1" applyAlignment="1" applyProtection="1">
      <alignment horizontal="center"/>
      <protection locked="0"/>
    </xf>
    <xf numFmtId="10" fontId="0" fillId="7" borderId="4" xfId="4" applyNumberFormat="1" applyFont="1" applyFill="1" applyBorder="1" applyAlignment="1" applyProtection="1">
      <alignment horizontal="center"/>
      <protection locked="0"/>
    </xf>
    <xf numFmtId="43" fontId="0" fillId="7" borderId="1" xfId="2" applyFont="1" applyFill="1" applyBorder="1" applyAlignment="1" applyProtection="1">
      <alignment horizontal="center"/>
      <protection locked="0"/>
    </xf>
    <xf numFmtId="0" fontId="0" fillId="8" borderId="1" xfId="0" applyFill="1" applyBorder="1" applyProtection="1">
      <protection locked="0"/>
    </xf>
    <xf numFmtId="0" fontId="5" fillId="0" borderId="0" xfId="0" applyFont="1" applyAlignment="1">
      <alignment horizontal="left" vertical="top"/>
    </xf>
    <xf numFmtId="0" fontId="0" fillId="4" borderId="2" xfId="0" applyFont="1" applyFill="1" applyBorder="1" applyAlignment="1">
      <alignment horizontal="left" wrapText="1"/>
    </xf>
    <xf numFmtId="0" fontId="0" fillId="4" borderId="6" xfId="0" applyFont="1" applyFill="1" applyBorder="1" applyAlignment="1">
      <alignment horizontal="left" wrapText="1"/>
    </xf>
    <xf numFmtId="0" fontId="0" fillId="4" borderId="3" xfId="0" applyFont="1" applyFill="1" applyBorder="1" applyAlignment="1">
      <alignment horizontal="left" wrapText="1"/>
    </xf>
    <xf numFmtId="0" fontId="0" fillId="7" borderId="2" xfId="0" applyFill="1" applyBorder="1" applyAlignment="1" applyProtection="1">
      <alignment horizontal="left" wrapText="1"/>
      <protection locked="0"/>
    </xf>
    <xf numFmtId="0" fontId="0" fillId="7" borderId="6" xfId="0" applyFill="1" applyBorder="1" applyAlignment="1" applyProtection="1">
      <alignment horizontal="left" wrapText="1"/>
      <protection locked="0"/>
    </xf>
    <xf numFmtId="0" fontId="0" fillId="7" borderId="3" xfId="0" applyFill="1" applyBorder="1" applyAlignment="1" applyProtection="1">
      <alignment horizontal="left" wrapText="1"/>
      <protection locked="0"/>
    </xf>
  </cellXfs>
  <cellStyles count="6">
    <cellStyle name="Comma" xfId="2" builtinId="3"/>
    <cellStyle name="Currency" xfId="3" builtinId="4"/>
    <cellStyle name="Normal" xfId="0" builtinId="0"/>
    <cellStyle name="Normal 2" xfId="1" xr:uid="{B42DA7F5-9117-44C4-BCAD-2B57378F6894}"/>
    <cellStyle name="Normal 3" xfId="5" xr:uid="{B4AB321A-6B30-43D0-B337-FE00520F7937}"/>
    <cellStyle name="Percent" xfId="4" builtinId="5"/>
  </cellStyles>
  <dxfs count="104"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4" formatCode="0.00%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34" formatCode="_(&quot;$&quot;* #,##0.00_);_(&quot;$&quot;* \(#,##0.00\);_(&quot;$&quot;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general" vertical="bottom" textRotation="0" wrapText="0" indent="0" justifyLastLine="0" shrinkToFit="0" readingOrder="0"/>
      <border outline="0">
        <left style="thin">
          <color indexed="64"/>
        </left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4" formatCode="0.00%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4" formatCode="0.00%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4" formatCode="0.00%"/>
      <fill>
        <patternFill patternType="solid">
          <fgColor indexed="64"/>
          <bgColor theme="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2" formatCode="0.00"/>
      <fill>
        <patternFill patternType="solid">
          <fgColor indexed="64"/>
          <bgColor theme="7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left style="thin">
          <color indexed="64"/>
        </left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 patternType="solid">
          <fgColor indexed="64"/>
          <bgColor theme="7" tint="0.79998168889431442"/>
        </patternFill>
      </fill>
      <border>
        <right style="thin">
          <color indexed="64"/>
        </right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>
          <fgColor indexed="64"/>
          <bgColor theme="7" tint="0.79998168889431442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7" tint="0.79998168889431442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fill>
        <patternFill>
          <fgColor indexed="64"/>
          <bgColor theme="7" tint="0.79998168889431442"/>
        </patternFill>
      </fill>
      <protection locked="0" hidden="0"/>
    </dxf>
    <dxf>
      <fill>
        <patternFill patternType="solid">
          <fgColor indexed="64"/>
          <bgColor theme="7" tint="0.79998168889431442"/>
        </patternFill>
      </fill>
    </dxf>
    <dxf>
      <border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5" tint="0.79998168889431442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B3E59F"/>
      <color rgb="FF1000E4"/>
      <color rgb="FFCC99FF"/>
      <color rgb="FFFF99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12</xdr:row>
      <xdr:rowOff>19050</xdr:rowOff>
    </xdr:from>
    <xdr:to>
      <xdr:col>7</xdr:col>
      <xdr:colOff>0</xdr:colOff>
      <xdr:row>16</xdr:row>
      <xdr:rowOff>171450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D19ED3F-3FA4-424E-2D21-DB41D558802B}"/>
            </a:ext>
          </a:extLst>
        </xdr:cNvPr>
        <xdr:cNvSpPr txBox="1"/>
      </xdr:nvSpPr>
      <xdr:spPr>
        <a:xfrm>
          <a:off x="6143625" y="2714625"/>
          <a:ext cx="430530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kern="1200"/>
            <a:t>*Calculated based on the most recent data on the nursing facility's 9/30/2024 Cost</a:t>
          </a:r>
          <a:r>
            <a:rPr lang="en-US" sz="1100" kern="1200" baseline="0"/>
            <a:t> </a:t>
          </a:r>
          <a:r>
            <a:rPr lang="en-US" sz="1100" kern="1200"/>
            <a:t>Report.  If facility is hospital-attached,</a:t>
          </a:r>
          <a:r>
            <a:rPr lang="en-US" sz="1100" kern="1200" baseline="0"/>
            <a:t> percentage is based on average computed for all non-hospital attached nursing facilities with reported costs.</a:t>
          </a:r>
          <a:endParaRPr lang="en-US" sz="1100" kern="1200"/>
        </a:p>
      </xdr:txBody>
    </xdr:sp>
    <xdr:clientData/>
  </xdr:twoCellAnchor>
  <xdr:twoCellAnchor>
    <xdr:from>
      <xdr:col>4</xdr:col>
      <xdr:colOff>215900</xdr:colOff>
      <xdr:row>24</xdr:row>
      <xdr:rowOff>6350</xdr:rowOff>
    </xdr:from>
    <xdr:to>
      <xdr:col>6</xdr:col>
      <xdr:colOff>1130300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2F7CB5E-FEC9-6C98-6FF1-E433E2BB0EAC}"/>
            </a:ext>
          </a:extLst>
        </xdr:cNvPr>
        <xdr:cNvSpPr txBox="1"/>
      </xdr:nvSpPr>
      <xdr:spPr>
        <a:xfrm>
          <a:off x="6848122" y="5453239"/>
          <a:ext cx="4075289" cy="1835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kern="1200"/>
            <a:t>Please Note: </a:t>
          </a:r>
        </a:p>
        <a:p>
          <a:r>
            <a:rPr lang="en-US" sz="1100" kern="1200"/>
            <a:t>When the allocation table is completed, it will be</a:t>
          </a:r>
          <a:r>
            <a:rPr lang="en-US" sz="1100" kern="1200" baseline="0"/>
            <a:t> used to determine the portion of the total nursing facility compensated salaries and hours for shared departments entered in the "Employee Payroll Input" worksheet.  </a:t>
          </a:r>
        </a:p>
        <a:p>
          <a:endParaRPr lang="en-US" sz="1100" kern="1200" baseline="0"/>
        </a:p>
        <a:p>
          <a:r>
            <a:rPr lang="en-US" sz="1100" kern="1200" baseline="0"/>
            <a:t>Please review the detailed instructions in the attached document under </a:t>
          </a:r>
          <a:r>
            <a:rPr lang="en-US" sz="1100" i="1" kern="1200" baseline="0"/>
            <a:t>Facility Info Input, Section 2 - Allocation Table for Shared Staff or Hospital-Attached.</a:t>
          </a:r>
          <a:endParaRPr lang="en-US" sz="1100" i="1" kern="1200"/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1</xdr:col>
      <xdr:colOff>1040341</xdr:colOff>
      <xdr:row>1</xdr:row>
      <xdr:rowOff>105834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3C21A20-ED9B-EA5A-6977-3001F27CE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026833" cy="7270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A7B7C9-DBCD-40F0-8BA1-9B46767DAA11}" name="TaxesBenefits" displayName="TaxesBenefits" ref="E9:F12" totalsRowShown="0" headerRowBorderDxfId="102" tableBorderDxfId="103">
  <autoFilter ref="E9:F12" xr:uid="{A7A7B7C9-DBCD-40F0-8BA1-9B46767DAA11}"/>
  <tableColumns count="2">
    <tableColumn id="1" xr3:uid="{A9B141FB-67DB-4A59-9B1D-BB36F5220EA6}" name="Taxes &amp; Benefits"/>
    <tableColumn id="2" xr3:uid="{1676820E-12D4-4EAC-AECC-45A21963380F}" name="% of Total Salaries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CBA768B-3A9A-4C55-96FB-B6029B25A391}" name="StaffPayroll" displayName="StaffPayroll" ref="A1:U401" totalsRowCount="1" headerRowDxfId="99" totalsRowDxfId="98" headerRowBorderDxfId="96" tableBorderDxfId="97" totalsRowBorderDxfId="95">
  <autoFilter ref="A1:U400" xr:uid="{FCBA768B-3A9A-4C55-96FB-B6029B25A391}"/>
  <tableColumns count="21">
    <tableColumn id="1" xr3:uid="{4D4DC6C8-52E4-47D2-964F-71449E31860A}" name="Employee ID Number / Code" dataDxfId="93" totalsRowDxfId="94"/>
    <tableColumn id="3" xr3:uid="{196349A5-B3E4-4685-A9E2-EAEFEB9EFEE2}" name="Position / Title" dataDxfId="91" totalsRowDxfId="92"/>
    <tableColumn id="6" xr3:uid="{6065F12D-DBC9-4CD9-8B33-740B9F7AEBD4}" name="Hourly Rate of Pay before WSB Minimum" dataDxfId="89" totalsRowDxfId="90" dataCellStyle="Currency"/>
    <tableColumn id="8" xr3:uid="{D76F31BA-8A3C-4705-ACB1-11BC162448FD}" name="Payroll Period Begins Date        (Must start after 6/1/2025)" dataDxfId="87" totalsRowDxfId="88"/>
    <tableColumn id="9" xr3:uid="{D517C2B8-40F7-48A7-B3AF-2B78A6AF70B8}" name="Payroll Period Ends Date (Minimum two months)" dataDxfId="85" totalsRowDxfId="86"/>
    <tableColumn id="10" xr3:uid="{F8E3F6BE-5C68-4889-82A9-BDD94E03D061}" name="Total Compensated Hours during period submitted?" totalsRowFunction="sum" dataDxfId="83" totalsRowDxfId="84" dataCellStyle="Comma"/>
    <tableColumn id="11" xr3:uid="{AC43B6EF-A706-4123-92C4-97E035BA51FD}" name="Are there Employer paid retirement benefits included on payroll for the employee?" dataDxfId="81" totalsRowDxfId="82"/>
    <tableColumn id="12" xr3:uid="{7995B419-AA25-42A3-AF13-9619F99F44D3}" name="Employer paid retirement contributions                                       (% of Wages)  (Blue = % input required)" dataDxfId="79" totalsRowDxfId="80" dataCellStyle="Percent"/>
    <tableColumn id="24" xr3:uid="{E17AE078-3C45-4751-BC05-560D141D5808}" name="Combined Name" dataDxfId="77" totalsRowDxfId="78" dataCellStyle="Percent">
      <calculatedColumnFormula>#REF!&amp;" "&amp;StaffPayroll[[#This Row],[Employee ID Number / Code]]</calculatedColumnFormula>
    </tableColumn>
    <tableColumn id="5" xr3:uid="{C93521C7-07B3-4654-992D-3B686C79D773}" name="CR Rate Category" dataDxfId="75" totalsRowDxfId="76" dataCellStyle="Percent">
      <calculatedColumnFormula>_xlfn.IFNA(VLOOKUP(StaffPayroll[[#This Row],[Position / Title]],Lists!A:C,3,FALSE),"")</calculatedColumnFormula>
    </tableColumn>
    <tableColumn id="4" xr3:uid="{906CB9D4-FBE2-4FA4-BAFC-73B8C4679907}" name="Period Days" dataDxfId="73" totalsRowDxfId="74" dataCellStyle="Percent">
      <calculatedColumnFormula>StaffPayroll[[#This Row],[Payroll Period Ends Date (Minimum two months)]]-StaffPayroll[[#This Row],[Payroll Period Begins Date        (Must start after 6/1/2025)]]+1</calculatedColumnFormula>
    </tableColumn>
    <tableColumn id="23" xr3:uid="{6537FBC6-7E31-46B4-94AF-C5A27A280911}" name="Percentage Allocated to Nursing Facility? (%)" dataDxfId="71" totalsRowDxfId="72" dataCellStyle="Percent">
      <calculatedColumnFormula>IFERROR(IF(VLOOKUP(J2,'Facility Info Input'!$B$25:$D$34,3,FALSE)="",1,VLOOKUP(J2,'Facility Info Input'!$B$25:$D$34,3,FALSE)),0)</calculatedColumnFormula>
    </tableColumn>
    <tableColumn id="13" xr3:uid="{3C10A9D2-9CB1-4CB5-A16B-D8732A7A6B41}" name="Hourly WSB  Wage Minimum" dataDxfId="69" totalsRowDxfId="70" dataCellStyle="Currency">
      <calculatedColumnFormula>IF(StaffPayroll[[#This Row],[Employee ID Number / Code]]="","",IF(StaffPayroll[[#This Row],[Position / Title]]="","",VLOOKUP(StaffPayroll[[#This Row],[Position / Title]],Lists!A:C,2,FALSE)))</calculatedColumnFormula>
    </tableColumn>
    <tableColumn id="25" xr3:uid="{7C6DF227-77DA-46DA-B96B-ED05B8751506}" name="Annual NF Wage Costs before WSB Minimum" totalsRowFunction="sum" dataDxfId="67" totalsRowDxfId="68" dataCellStyle="Currency">
      <calculatedColumnFormula>IF(C2="",0,StaffPayroll[[#This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calculatedColumnFormula>
    </tableColumn>
    <tableColumn id="15" xr3:uid="{A7697248-B8A1-4338-90C5-1AFEFC4F56D7}" name="Annual NF Wage Costs after WSB Minimum" totalsRowFunction="sum" dataDxfId="65" totalsRowDxfId="66" dataCellStyle="Currency">
      <calculatedColumnFormula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calculatedColumnFormula>
    </tableColumn>
    <tableColumn id="17" xr3:uid="{757A3CF9-F997-4435-8A7B-B7B2E247350A}" name="Annual Cost of Wage Increase included in Rate Adjustment" totalsRowFunction="sum" dataDxfId="63" totalsRowDxfId="64">
      <calculatedColumnFormula>IF(StaffPayroll[[#This Row],[Hourly WSB  Wage Minimum]]="",0,StaffPayroll[[#This Row],[Annual NF Wage Costs after WSB Minimum]]-StaffPayroll[[#This Row],[Annual NF Wage Costs before WSB Minimum]])</calculatedColumnFormula>
    </tableColumn>
    <tableColumn id="18" xr3:uid="{9474BA43-0007-4296-ABE5-C6A00335F993}" name="Employer FICA and Medicare Tax" totalsRowFunction="sum" dataDxfId="61" totalsRowDxfId="62">
      <calculatedColumnFormula>IFERROR(IF(StaffPayroll[[#This Row],[Annual Cost of Wage Increase included in Rate Adjustment]]=0,0,P2*'Facility Info Input'!$F$10),0)</calculatedColumnFormula>
    </tableColumn>
    <tableColumn id="19" xr3:uid="{F427D688-B571-4666-BB1A-7B6236119405}" name="Employer                                       FUTA / SUTA" totalsRowFunction="sum" dataDxfId="59" totalsRowDxfId="60">
      <calculatedColumnFormula>IFERROR(IF(StaffPayroll[[#This Row],[Annual Cost of Wage Increase included in Rate Adjustment]]=0,0,IF('Facility Info Input'!$F$11&lt;=0,0,P2*'Facility Info Input'!$F$11)),0)</calculatedColumnFormula>
    </tableColumn>
    <tableColumn id="20" xr3:uid="{636355F6-3CE3-4BA6-B8E8-C09833387BB6}" name="Employer Worker's Compensation Insurance" totalsRowFunction="sum" dataDxfId="57" totalsRowDxfId="58">
      <calculatedColumnFormula>IFERROR(IF(StaffPayroll[[#This Row],[Annual Cost of Wage Increase included in Rate Adjustment]]=0,0,IF('Facility Info Input'!$F$12&lt;=0,0,P2*'Facility Info Input'!$F$12)),0)</calculatedColumnFormula>
    </tableColumn>
    <tableColumn id="21" xr3:uid="{BE2DE084-9391-4133-ACC8-A5DE2BAB2D7B}" name="Employer Pension or Retirement Contribution" totalsRowFunction="sum" dataDxfId="55" totalsRowDxfId="56">
      <calculatedColumnFormula>IFERROR(IF(G2="Yes",H2*P2,0),0)</calculatedColumnFormula>
    </tableColumn>
    <tableColumn id="22" xr3:uid="{333C40F1-8DEA-4DD3-81D0-A26A25C152C0}" name="Total Annual Cost of Wage Increase included in Rate Adjustment" totalsRowFunction="sum" dataDxfId="53" totalsRowDxfId="54">
      <calculatedColumnFormula>IFERROR(SUM(P2:T2),0)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F78C59-B855-443A-A24E-9FB42B968FC9}" name="ContractorPayroll" displayName="ContractorPayroll" ref="A1:W401" totalsRowCount="1" headerRowDxfId="50" totalsRowDxfId="49" headerRowBorderDxfId="47" tableBorderDxfId="48" totalsRowBorderDxfId="46">
  <autoFilter ref="A1:W400" xr:uid="{E9F78C59-B855-443A-A24E-9FB42B968FC9}"/>
  <tableColumns count="23">
    <tableColumn id="4" xr3:uid="{BF3BDEA3-649F-4548-B46D-96B90203345C}" name="Vendor Name" dataDxfId="44" totalsRowDxfId="45"/>
    <tableColumn id="1" xr3:uid="{2CEC7A90-6201-4DF4-81BA-4C4CD2F1CF25}" name="Employee ID Number / Code" totalsRowLabel="Total" dataDxfId="42" totalsRowDxfId="43"/>
    <tableColumn id="3" xr3:uid="{11BF9172-97F7-4F29-98EE-5371BC97316D}" name="Position / Title" dataDxfId="40" totalsRowDxfId="41"/>
    <tableColumn id="6" xr3:uid="{E49EE585-995B-4ABA-AB7F-7B531D5BDB89}" name="Hourly Rate of Pay before WSB Minimum" dataDxfId="38" totalsRowDxfId="39" dataCellStyle="Currency"/>
    <tableColumn id="8" xr3:uid="{B68DAA0B-4B93-48CC-9A72-5CEFA70266C9}" name="Payroll Period Begins Date        (Must start after 6/1/2025)" dataDxfId="36" totalsRowDxfId="37"/>
    <tableColumn id="9" xr3:uid="{17A78A03-8612-46BC-9C68-4EC1B2ECAFCC}" name="Payroll Period Ends Date (Minimum two months)" dataDxfId="34" totalsRowDxfId="35"/>
    <tableColumn id="10" xr3:uid="{D9EF1B04-82BE-4C56-8C7B-803E00D48987}" name="Total Compensated Hours during period submitted?" totalsRowFunction="sum" dataDxfId="32" totalsRowDxfId="33" dataCellStyle="Comma"/>
    <tableColumn id="11" xr3:uid="{35FFC80F-14B2-43DD-87B5-967BF655AD65}" name="Are there Employer paid retirement benefits included on payroll for the employee?" dataDxfId="30" totalsRowDxfId="31"/>
    <tableColumn id="12" xr3:uid="{A72709C6-D7AA-43AA-A500-1C7558BC5CC0}" name="Employer paid retirement contributions                                       (% of Wages)  (Blue = % input required)" dataDxfId="28" totalsRowDxfId="29" dataCellStyle="Percent"/>
    <tableColumn id="16" xr3:uid="{3022D499-D01E-423F-AFF6-9C4E3898591B}" name="Employer        FUTA / SUTA       (% of Wages)" dataDxfId="26" totalsRowDxfId="27" dataCellStyle="Percent"/>
    <tableColumn id="17" xr3:uid="{A2D777F9-33A0-42F7-BB92-95B4115ADD17}" name="Employer Worker's Compensation Insurance          (% of Wages)" dataDxfId="24" totalsRowDxfId="25" dataCellStyle="Percent"/>
    <tableColumn id="7" xr3:uid="{EE7501EB-2EFE-43AC-BB06-AD2E73FDE419}" name="Percentage Allocated to Nursing Facility?            (%)" dataDxfId="22" totalsRowDxfId="23" dataCellStyle="Percent"/>
    <tableColumn id="24" xr3:uid="{48CDA55C-C743-4103-BE6A-74E9D7946D4B}" name="Combined Name" dataDxfId="20" totalsRowDxfId="21">
      <calculatedColumnFormula>#REF!&amp;" "&amp;ContractorPayroll[[#This Row],[Employee ID Number / Code]]</calculatedColumnFormula>
    </tableColumn>
    <tableColumn id="5" xr3:uid="{2D7B4312-753C-437E-89E7-41A046427977}" name="CR Rate Category" dataDxfId="18" totalsRowDxfId="19" dataCellStyle="Percent">
      <calculatedColumnFormula>_xlfn.IFNA(IF(C2="","",VLOOKUP(ContractorPayroll[[#This Row],[Position / Title]],Lists!I:K,3,FALSE)),"")</calculatedColumnFormula>
    </tableColumn>
    <tableColumn id="13" xr3:uid="{C1BF8143-3F45-4B93-860E-F94892A46862}" name="Hourly WSB  Wage Minimum" dataDxfId="16" totalsRowDxfId="17" dataCellStyle="Currency">
      <calculatedColumnFormula>IF(ContractorPayroll[[#This Row],[Position / Title]]="","",VLOOKUP(ContractorPayroll[[#This Row],[Position / Title]],Lists!I:K,2,FALSE))</calculatedColumnFormula>
    </tableColumn>
    <tableColumn id="14" xr3:uid="{2142AE06-2469-4051-B5CF-16ABD5E254D0}" name="Annual NF Wage Costs before WSB Minimum" totalsRowFunction="sum" dataDxfId="14" totalsRowDxfId="15" dataCellStyle="Currency">
      <calculatedColumnFormula>IF(D2="","",ContractorPayroll[[#This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calculatedColumnFormula>
    </tableColumn>
    <tableColumn id="25" xr3:uid="{3898976D-E834-4C7D-9A37-A00DAE5980A6}" name="Annual NF Wage Costs after WSB Minimum" totalsRowFunction="sum" dataDxfId="12" totalsRowDxfId="13" dataCellStyle="Currency">
      <calculatedColumnFormula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calculatedColumnFormula>
    </tableColumn>
    <tableColumn id="15" xr3:uid="{EFBAFD69-B452-4263-9AFA-5CC1E8B233B3}" name="Annual Cost of Wage Increase included in Rate Adjustment" totalsRowFunction="sum" dataDxfId="10" totalsRowDxfId="11" dataCellStyle="Currency">
      <calculatedColumnFormula>IF(ContractorPayroll[[#This Row],[Total Compensated Hours during period submitted?]]="",0,ContractorPayroll[[#This Row],[Annual NF Wage Costs after WSB Minimum]]-ContractorPayroll[[#This Row],[Annual NF Wage Costs before WSB Minimum]])</calculatedColumnFormula>
    </tableColumn>
    <tableColumn id="18" xr3:uid="{A1B63499-3975-4B98-80DD-D917439C7D83}" name="Employer FICA and Medicare Tax" totalsRowFunction="sum" dataDxfId="8" totalsRowDxfId="9">
      <calculatedColumnFormula>IFERROR(IF(ContractorPayroll[[#This Row],[Annual Cost of Wage Increase included in Rate Adjustment]]=0,0,R2*'Facility Info Input'!$F$10),0)</calculatedColumnFormula>
    </tableColumn>
    <tableColumn id="19" xr3:uid="{58FCDC41-B971-4F00-B0FD-60DF06521305}" name="Employer                                       FUTA / SUTA" totalsRowFunction="sum" dataDxfId="6" totalsRowDxfId="7">
      <calculatedColumnFormula>IFERROR(J2*R2,0)</calculatedColumnFormula>
    </tableColumn>
    <tableColumn id="20" xr3:uid="{04821A9A-DD89-4E51-B74D-5D19FC23FB48}" name="Employer Worker's Compensation Insurance" totalsRowFunction="sum" dataDxfId="4" totalsRowDxfId="5">
      <calculatedColumnFormula>IFERROR(K2*R2,0)</calculatedColumnFormula>
    </tableColumn>
    <tableColumn id="21" xr3:uid="{21CFEA80-8E01-49E0-8BE3-6F2F98B05D74}" name="Employer Pension or Retirement Contribution" totalsRowFunction="sum" dataDxfId="2" totalsRowDxfId="3">
      <calculatedColumnFormula>IFERROR(IF(H2="Yes",I2*R2,0),0)</calculatedColumnFormula>
    </tableColumn>
    <tableColumn id="22" xr3:uid="{F11F2D34-CB96-4C8B-84A9-3A607993AB77}" name="Total Annual Cost of Wage Increase included in Rate Adjustment" totalsRowFunction="sum" dataDxfId="0" totalsRowDxfId="1">
      <calculatedColumnFormula>IFERROR(SUM(R2:V2),0)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1320B-2BD9-44CA-9A76-D18D10F64852}">
  <sheetPr>
    <tabColor rgb="FF00B0F0"/>
  </sheetPr>
  <dimension ref="A1:K38"/>
  <sheetViews>
    <sheetView tabSelected="1" zoomScale="90" zoomScaleNormal="90" workbookViewId="0">
      <selection activeCell="C10" sqref="C10"/>
    </sheetView>
  </sheetViews>
  <sheetFormatPr defaultRowHeight="14.45"/>
  <cols>
    <col min="1" max="1" width="28.42578125" customWidth="1"/>
    <col min="2" max="2" width="22.7109375" customWidth="1"/>
    <col min="3" max="3" width="25" customWidth="1"/>
    <col min="4" max="4" width="18.7109375" customWidth="1"/>
    <col min="5" max="5" width="24.7109375" customWidth="1"/>
    <col min="6" max="6" width="20.5703125" customWidth="1"/>
    <col min="7" max="7" width="19.42578125" customWidth="1"/>
    <col min="8" max="9" width="15.7109375" customWidth="1"/>
    <col min="10" max="11" width="20.7109375" customWidth="1"/>
  </cols>
  <sheetData>
    <row r="1" spans="1:11" ht="48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6">
      <c r="A2" s="94">
        <v>2026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>
      <c r="A3" s="2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s="1" customFormat="1" ht="16.149999999999999" thickBot="1">
      <c r="A6" s="55" t="s">
        <v>1</v>
      </c>
      <c r="B6" s="56"/>
      <c r="C6" s="56"/>
      <c r="D6" s="56"/>
      <c r="E6" s="56"/>
      <c r="F6" s="56"/>
      <c r="G6" s="56"/>
    </row>
    <row r="7" spans="1:11" s="1" customFormat="1" ht="7.5" customHeight="1">
      <c r="A7" s="59"/>
      <c r="B7" s="60"/>
      <c r="C7" s="60"/>
      <c r="D7" s="60"/>
      <c r="E7" s="60"/>
      <c r="F7" s="60"/>
      <c r="G7" s="60"/>
    </row>
    <row r="8" spans="1:11" s="1" customFormat="1">
      <c r="A8" s="15" t="s">
        <v>2</v>
      </c>
      <c r="B8" s="74"/>
    </row>
    <row r="9" spans="1:11">
      <c r="A9" s="15" t="s">
        <v>3</v>
      </c>
      <c r="B9" s="3" t="str">
        <f>IF($B$8="","",VLOOKUP($B$8,'Facility Data'!A:AK,2,FALSE))</f>
        <v/>
      </c>
      <c r="C9" s="4"/>
      <c r="D9" s="1"/>
      <c r="E9" s="28" t="s">
        <v>4</v>
      </c>
      <c r="F9" s="29" t="s">
        <v>5</v>
      </c>
      <c r="G9" s="1"/>
      <c r="H9" s="1"/>
      <c r="I9" s="1"/>
      <c r="J9" s="1"/>
      <c r="K9" s="1"/>
    </row>
    <row r="10" spans="1:11">
      <c r="A10" s="15"/>
      <c r="B10" s="1"/>
      <c r="C10" s="1"/>
      <c r="D10" s="1"/>
      <c r="E10" s="26" t="s">
        <v>6</v>
      </c>
      <c r="F10" s="27">
        <v>7.6499999999999999E-2</v>
      </c>
      <c r="G10" s="1"/>
      <c r="H10" s="1"/>
      <c r="I10" s="1"/>
      <c r="J10" s="1"/>
      <c r="K10" s="1"/>
    </row>
    <row r="11" spans="1:11">
      <c r="A11" s="15" t="s">
        <v>7</v>
      </c>
      <c r="B11" s="75"/>
      <c r="C11" s="76"/>
      <c r="D11" s="1"/>
      <c r="E11" s="26" t="s">
        <v>8</v>
      </c>
      <c r="F11" s="27" t="str">
        <f>IFERROR(IF($B$14="Hospital",'Facility Data'!$AG$334,VLOOKUP($B$8,'Facility Data'!A:AK,33,FALSE)),"")</f>
        <v/>
      </c>
      <c r="G11" s="1"/>
      <c r="H11" s="1"/>
      <c r="I11" s="1"/>
      <c r="J11" s="1"/>
      <c r="K11" s="1"/>
    </row>
    <row r="12" spans="1:11">
      <c r="A12" s="15" t="s">
        <v>9</v>
      </c>
      <c r="B12" s="75"/>
      <c r="C12" s="76"/>
      <c r="D12" s="1"/>
      <c r="E12" s="25" t="s">
        <v>10</v>
      </c>
      <c r="F12" s="30" t="str">
        <f>IFERROR(IF($B$14="Hospital",'Facility Data'!$AH$334,VLOOKUP($B$8,'Facility Data'!A:AK,34,FALSE)),"")</f>
        <v/>
      </c>
      <c r="G12" s="1"/>
      <c r="H12" s="1"/>
      <c r="I12" s="1"/>
      <c r="J12" s="1"/>
      <c r="K12" s="1"/>
    </row>
    <row r="13" spans="1:11">
      <c r="A13" s="15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5" t="s">
        <v>11</v>
      </c>
      <c r="B14" s="34" t="str">
        <f>IFERROR(VLOOKUP($B$8,'Facility Data'!A:AK,36,FALSE),"")</f>
        <v/>
      </c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7" s="1" customFormat="1"/>
    <row r="18" spans="1:7" s="1" customFormat="1"/>
    <row r="19" spans="1:7" s="1" customFormat="1" ht="16.149999999999999" thickBot="1">
      <c r="A19" s="55" t="s">
        <v>12</v>
      </c>
      <c r="B19" s="56"/>
      <c r="C19" s="56"/>
      <c r="D19" s="56"/>
      <c r="E19" s="56"/>
      <c r="F19" s="56"/>
      <c r="G19" s="56"/>
    </row>
    <row r="20" spans="1:7" s="1" customFormat="1" ht="7.5" customHeight="1">
      <c r="A20" s="54"/>
    </row>
    <row r="21" spans="1:7" ht="43.5" customHeight="1">
      <c r="A21" s="95" t="s">
        <v>13</v>
      </c>
      <c r="B21" s="96"/>
      <c r="C21" s="96"/>
      <c r="D21" s="96"/>
      <c r="E21" s="96"/>
      <c r="F21" s="97"/>
      <c r="G21" s="77"/>
    </row>
    <row r="22" spans="1:7" s="1" customFormat="1" ht="7.5" customHeight="1"/>
    <row r="23" spans="1:7" s="1" customFormat="1" ht="15" thickBot="1">
      <c r="A23" s="21" t="s">
        <v>14</v>
      </c>
    </row>
    <row r="24" spans="1:7" s="1" customFormat="1" ht="43.15">
      <c r="B24" s="61" t="s">
        <v>15</v>
      </c>
      <c r="C24" s="62" t="s">
        <v>16</v>
      </c>
      <c r="D24" s="63" t="s">
        <v>17</v>
      </c>
    </row>
    <row r="25" spans="1:7" s="1" customFormat="1">
      <c r="B25" s="64" t="s">
        <v>18</v>
      </c>
      <c r="C25" s="77"/>
      <c r="D25" s="78"/>
    </row>
    <row r="26" spans="1:7" s="1" customFormat="1">
      <c r="B26" s="64" t="s">
        <v>19</v>
      </c>
      <c r="C26" s="77"/>
      <c r="D26" s="78"/>
    </row>
    <row r="27" spans="1:7" s="1" customFormat="1">
      <c r="B27" s="64" t="s">
        <v>20</v>
      </c>
      <c r="C27" s="77"/>
      <c r="D27" s="78"/>
    </row>
    <row r="28" spans="1:7" s="1" customFormat="1">
      <c r="B28" s="64" t="s">
        <v>21</v>
      </c>
      <c r="C28" s="77"/>
      <c r="D28" s="78"/>
    </row>
    <row r="29" spans="1:7" s="1" customFormat="1">
      <c r="B29" s="64" t="s">
        <v>22</v>
      </c>
      <c r="C29" s="77"/>
      <c r="D29" s="78"/>
    </row>
    <row r="30" spans="1:7" s="1" customFormat="1">
      <c r="B30" s="64" t="s">
        <v>23</v>
      </c>
      <c r="C30" s="77"/>
      <c r="D30" s="78"/>
    </row>
    <row r="31" spans="1:7" s="1" customFormat="1">
      <c r="B31" s="64" t="s">
        <v>24</v>
      </c>
      <c r="C31" s="77"/>
      <c r="D31" s="78"/>
    </row>
    <row r="32" spans="1:7" s="1" customFormat="1">
      <c r="B32" s="64" t="s">
        <v>25</v>
      </c>
      <c r="C32" s="77"/>
      <c r="D32" s="78"/>
    </row>
    <row r="33" spans="1:7" s="1" customFormat="1">
      <c r="B33" s="64" t="s">
        <v>26</v>
      </c>
      <c r="C33" s="77"/>
      <c r="D33" s="78"/>
    </row>
    <row r="34" spans="1:7" s="1" customFormat="1" ht="15" thickBot="1">
      <c r="B34" s="65" t="s">
        <v>27</v>
      </c>
      <c r="C34" s="79"/>
      <c r="D34" s="80"/>
    </row>
    <row r="35" spans="1:7" s="1" customFormat="1"/>
    <row r="36" spans="1:7" s="1" customFormat="1">
      <c r="A36" s="1" t="s">
        <v>28</v>
      </c>
    </row>
    <row r="37" spans="1:7" s="1" customFormat="1" ht="69.75" customHeight="1">
      <c r="B37" s="98"/>
      <c r="C37" s="99"/>
      <c r="D37" s="99"/>
      <c r="E37" s="99"/>
      <c r="F37" s="99"/>
      <c r="G37" s="100"/>
    </row>
    <row r="38" spans="1:7" s="1" customFormat="1"/>
  </sheetData>
  <sheetProtection algorithmName="SHA-512" hashValue="F7NZCWsc7Nextx4+V/wj9KuCkcxuonXsOWVJyuZ93ru/12fn3eAs1Bcz7YQEokGIztJps8T6Fj5F5yB5ZnMUbQ==" saltValue="MG5kOfk0eowEU91AlWi6wA==" spinCount="100000" sheet="1" objects="1" scenarios="1"/>
  <mergeCells count="2">
    <mergeCell ref="A21:F21"/>
    <mergeCell ref="B37:G37"/>
  </mergeCells>
  <pageMargins left="0.25" right="0.25" top="0.25" bottom="0.5" header="0.3" footer="0.3"/>
  <pageSetup scale="80" orientation="landscape" horizontalDpi="1200" verticalDpi="1200" r:id="rId1"/>
  <headerFooter>
    <oddFooter>&amp;L&amp;A&amp;C&amp;BState of MN Confidential&amp;B&amp;RPage &amp;P</oddFooter>
  </headerFooter>
  <rowBreaks count="1" manualBreakCount="1">
    <brk id="35" max="6" man="1"/>
  </rowBreaks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AA53809-BC9B-47A4-8B6D-96573832C529}">
          <x14:formula1>
            <xm:f>Lists!$G$3:$G$4</xm:f>
          </x14:formula1>
          <xm:sqref>G21</xm:sqref>
        </x14:dataValidation>
        <x14:dataValidation type="list" allowBlank="1" showInputMessage="1" showErrorMessage="1" error="Please choose from the drop down menu." xr:uid="{2F3A6128-6A10-4B77-83AE-73D2BC827517}">
          <x14:formula1>
            <xm:f>Lists!$E$2:$E$11</xm:f>
          </x14:formula1>
          <xm:sqref>C25:C34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83D39-9D61-41B9-B8E3-5010FDC96A1E}">
  <sheetPr>
    <tabColor rgb="FF00B0F0"/>
  </sheetPr>
  <dimension ref="A1:U401"/>
  <sheetViews>
    <sheetView workbookViewId="0">
      <selection activeCell="F8" sqref="F8"/>
    </sheetView>
  </sheetViews>
  <sheetFormatPr defaultColWidth="9.28515625" defaultRowHeight="14.45"/>
  <cols>
    <col min="1" max="1" width="16.7109375" style="1" customWidth="1"/>
    <col min="2" max="2" width="26" style="1" customWidth="1"/>
    <col min="3" max="8" width="14.7109375" style="1" customWidth="1"/>
    <col min="9" max="9" width="20.7109375" style="1" hidden="1" customWidth="1"/>
    <col min="10" max="10" width="21.5703125" style="1" hidden="1" customWidth="1"/>
    <col min="11" max="11" width="16.28515625" style="1" hidden="1" customWidth="1"/>
    <col min="12" max="12" width="14.7109375" style="5" customWidth="1"/>
    <col min="13" max="15" width="14.7109375" style="1" customWidth="1"/>
    <col min="16" max="21" width="15.7109375" style="1" customWidth="1"/>
    <col min="22" max="22" width="17" style="1" customWidth="1"/>
    <col min="23" max="23" width="9.28515625" style="1"/>
    <col min="24" max="24" width="11.28515625" style="1" bestFit="1" customWidth="1"/>
    <col min="25" max="16384" width="9.28515625" style="1"/>
  </cols>
  <sheetData>
    <row r="1" spans="1:21" ht="100.9">
      <c r="A1" s="14" t="s">
        <v>29</v>
      </c>
      <c r="B1" s="11" t="s">
        <v>30</v>
      </c>
      <c r="C1" s="11" t="s">
        <v>31</v>
      </c>
      <c r="D1" s="11" t="s">
        <v>32</v>
      </c>
      <c r="E1" s="11" t="s">
        <v>33</v>
      </c>
      <c r="F1" s="11" t="s">
        <v>34</v>
      </c>
      <c r="G1" s="11" t="s">
        <v>35</v>
      </c>
      <c r="H1" s="11" t="s">
        <v>36</v>
      </c>
      <c r="I1" s="73" t="s">
        <v>37</v>
      </c>
      <c r="J1" s="73" t="s">
        <v>38</v>
      </c>
      <c r="K1" s="73" t="s">
        <v>39</v>
      </c>
      <c r="L1" s="23" t="s">
        <v>40</v>
      </c>
      <c r="M1" s="12" t="s">
        <v>41</v>
      </c>
      <c r="N1" s="12" t="s">
        <v>42</v>
      </c>
      <c r="O1" s="23" t="s">
        <v>43</v>
      </c>
      <c r="P1" s="13" t="s">
        <v>44</v>
      </c>
      <c r="Q1" s="13" t="s">
        <v>45</v>
      </c>
      <c r="R1" s="13" t="s">
        <v>46</v>
      </c>
      <c r="S1" s="13" t="s">
        <v>47</v>
      </c>
      <c r="T1" s="13" t="s">
        <v>48</v>
      </c>
      <c r="U1" s="20" t="s">
        <v>49</v>
      </c>
    </row>
    <row r="2" spans="1:21">
      <c r="A2" s="76"/>
      <c r="B2" s="77"/>
      <c r="C2" s="81"/>
      <c r="D2" s="82"/>
      <c r="E2" s="82"/>
      <c r="F2" s="83"/>
      <c r="G2" s="84"/>
      <c r="H2" s="85"/>
      <c r="I2" s="71" t="e">
        <f>#REF!&amp;" "&amp;StaffPayroll[[#This Row],[Employee ID Number / Code]]</f>
        <v>#REF!</v>
      </c>
      <c r="J2" s="71" t="str">
        <f>_xlfn.IFNA(VLOOKUP(StaffPayroll[[#This Row],[Position / Title]],Lists!A:C,3,FALSE),"")</f>
        <v/>
      </c>
      <c r="K2" s="71">
        <f>StaffPayroll[[#This Row],[Payroll Period Ends Date (Minimum two months)]]-StaffPayroll[[#This Row],[Payroll Period Begins Date        (Must start after 6/1/2025)]]+1</f>
        <v>1</v>
      </c>
      <c r="L2" s="38">
        <f>IFERROR(IF(VLOOKUP(J2,'Facility Info Input'!$B$25:$D$34,3,FALSE)="",1,VLOOKUP(J2,'Facility Info Input'!$B$25:$D$34,3,FALSE)),0)</f>
        <v>0</v>
      </c>
      <c r="M2" s="22" t="str">
        <f>IF(StaffPayroll[[#This Row],[Employee ID Number / Code]]="","",IF(StaffPayroll[[#This Row],[Position / Title]]="","",VLOOKUP(StaffPayroll[[#This Row],[Position / Title]],Lists!A:C,2,FALSE)))</f>
        <v/>
      </c>
      <c r="N2" s="22">
        <f>IF(C2="",0,StaffPayroll[[#This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" s="31">
        <f>IF(StaffPayroll[[#This Row],[Hourly WSB  Wage Minimum]]="",0,StaffPayroll[[#This Row],[Annual NF Wage Costs after WSB Minimum]]-StaffPayroll[[#This Row],[Annual NF Wage Costs before WSB Minimum]])</f>
        <v>0</v>
      </c>
      <c r="Q2" s="31">
        <f>IFERROR(IF(StaffPayroll[[#This Row],[Annual Cost of Wage Increase included in Rate Adjustment]]=0,0,P2*'Facility Info Input'!$F$10),0)</f>
        <v>0</v>
      </c>
      <c r="R2" s="32">
        <f>IFERROR(IF(StaffPayroll[[#This Row],[Annual Cost of Wage Increase included in Rate Adjustment]]=0,0,IF('Facility Info Input'!$F$11&lt;=0,0,P2*'Facility Info Input'!$F$11)),0)</f>
        <v>0</v>
      </c>
      <c r="S2" s="32">
        <f>IFERROR(IF(StaffPayroll[[#This Row],[Annual Cost of Wage Increase included in Rate Adjustment]]=0,0,IF('Facility Info Input'!$F$12&lt;=0,0,P2*'Facility Info Input'!$F$12)),0)</f>
        <v>0</v>
      </c>
      <c r="T2" s="32">
        <f t="shared" ref="T2:T65" si="0">IFERROR(IF(G2="Yes",H2*P2,0),0)</f>
        <v>0</v>
      </c>
      <c r="U2" s="33">
        <f>IFERROR(SUM(P2:T2),0)</f>
        <v>0</v>
      </c>
    </row>
    <row r="3" spans="1:21">
      <c r="A3" s="76"/>
      <c r="B3" s="77"/>
      <c r="C3" s="81"/>
      <c r="D3" s="82"/>
      <c r="E3" s="82"/>
      <c r="F3" s="83"/>
      <c r="G3" s="84"/>
      <c r="H3" s="85"/>
      <c r="I3" s="71" t="e">
        <f>#REF!&amp;" "&amp;StaffPayroll[[#This Row],[Employee ID Number / Code]]</f>
        <v>#REF!</v>
      </c>
      <c r="J3" s="71" t="str">
        <f>_xlfn.IFNA(VLOOKUP(StaffPayroll[[#This Row],[Position / Title]],Lists!A:C,3,FALSE),"")</f>
        <v/>
      </c>
      <c r="K3" s="71">
        <f>StaffPayroll[[#This Row],[Payroll Period Ends Date (Minimum two months)]]-StaffPayroll[[#This Row],[Payroll Period Begins Date        (Must start after 6/1/2025)]]+1</f>
        <v>1</v>
      </c>
      <c r="L3" s="38">
        <f>IFERROR(IF(VLOOKUP(J3,'Facility Info Input'!$B$25:$D$34,3,FALSE)="",1,VLOOKUP(J3,'Facility Info Input'!$B$25:$D$34,3,FALSE)),0)</f>
        <v>0</v>
      </c>
      <c r="M3" s="22" t="str">
        <f>IF(StaffPayroll[[#This Row],[Employee ID Number / Code]]="","",IF(StaffPayroll[[#This Row],[Position / Title]]="","",VLOOKUP(StaffPayroll[[#This Row],[Position / Title]],Lists!A:C,2,FALSE)))</f>
        <v/>
      </c>
      <c r="N3" s="22">
        <f>IF(C3="",0,StaffPayroll[[#This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" s="31">
        <f>IF(StaffPayroll[[#This Row],[Hourly WSB  Wage Minimum]]="",0,StaffPayroll[[#This Row],[Annual NF Wage Costs after WSB Minimum]]-StaffPayroll[[#This Row],[Annual NF Wage Costs before WSB Minimum]])</f>
        <v>0</v>
      </c>
      <c r="Q3" s="31">
        <f>IFERROR(IF(StaffPayroll[[#This Row],[Annual Cost of Wage Increase included in Rate Adjustment]]=0,0,P3*'Facility Info Input'!$F$10),0)</f>
        <v>0</v>
      </c>
      <c r="R3" s="32">
        <f>IFERROR(IF(StaffPayroll[[#This Row],[Annual Cost of Wage Increase included in Rate Adjustment]]=0,0,IF('Facility Info Input'!$F$11&lt;=0,0,P3*'Facility Info Input'!$F$11)),0)</f>
        <v>0</v>
      </c>
      <c r="S3" s="32">
        <f>IFERROR(IF(StaffPayroll[[#This Row],[Annual Cost of Wage Increase included in Rate Adjustment]]=0,0,IF('Facility Info Input'!$F$12&lt;=0,0,P3*'Facility Info Input'!$F$12)),0)</f>
        <v>0</v>
      </c>
      <c r="T3" s="32">
        <f t="shared" si="0"/>
        <v>0</v>
      </c>
      <c r="U3" s="33">
        <f t="shared" ref="U3:U66" si="1">IFERROR(SUM(P3:T3),0)</f>
        <v>0</v>
      </c>
    </row>
    <row r="4" spans="1:21">
      <c r="A4" s="76"/>
      <c r="B4" s="77"/>
      <c r="C4" s="81"/>
      <c r="D4" s="82"/>
      <c r="E4" s="82"/>
      <c r="F4" s="83"/>
      <c r="G4" s="84"/>
      <c r="H4" s="85"/>
      <c r="I4" s="71" t="e">
        <f>#REF!&amp;" "&amp;StaffPayroll[[#This Row],[Employee ID Number / Code]]</f>
        <v>#REF!</v>
      </c>
      <c r="J4" s="71" t="str">
        <f>_xlfn.IFNA(VLOOKUP(StaffPayroll[[#This Row],[Position / Title]],Lists!A:C,3,FALSE),"")</f>
        <v/>
      </c>
      <c r="K4" s="71">
        <f>StaffPayroll[[#This Row],[Payroll Period Ends Date (Minimum two months)]]-StaffPayroll[[#This Row],[Payroll Period Begins Date        (Must start after 6/1/2025)]]+1</f>
        <v>1</v>
      </c>
      <c r="L4" s="38">
        <f>IFERROR(IF(VLOOKUP(J4,'Facility Info Input'!$B$25:$D$34,3,FALSE)="",1,VLOOKUP(J4,'Facility Info Input'!$B$25:$D$34,3,FALSE)),0)</f>
        <v>0</v>
      </c>
      <c r="M4" s="22" t="str">
        <f>IF(StaffPayroll[[#This Row],[Employee ID Number / Code]]="","",IF(StaffPayroll[[#This Row],[Position / Title]]="","",VLOOKUP(StaffPayroll[[#This Row],[Position / Title]],Lists!A:C,2,FALSE)))</f>
        <v/>
      </c>
      <c r="N4" s="22">
        <f>IF(C4="",0,StaffPayroll[[#This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" s="31">
        <f>IF(StaffPayroll[[#This Row],[Hourly WSB  Wage Minimum]]="",0,StaffPayroll[[#This Row],[Annual NF Wage Costs after WSB Minimum]]-StaffPayroll[[#This Row],[Annual NF Wage Costs before WSB Minimum]])</f>
        <v>0</v>
      </c>
      <c r="Q4" s="31">
        <f>IFERROR(IF(StaffPayroll[[#This Row],[Annual Cost of Wage Increase included in Rate Adjustment]]=0,0,P4*'Facility Info Input'!$F$10),0)</f>
        <v>0</v>
      </c>
      <c r="R4" s="32">
        <f>IFERROR(IF(StaffPayroll[[#This Row],[Annual Cost of Wage Increase included in Rate Adjustment]]=0,0,IF('Facility Info Input'!$F$11&lt;=0,0,P4*'Facility Info Input'!$F$11)),0)</f>
        <v>0</v>
      </c>
      <c r="S4" s="32">
        <f>IFERROR(IF(StaffPayroll[[#This Row],[Annual Cost of Wage Increase included in Rate Adjustment]]=0,0,IF('Facility Info Input'!$F$12&lt;=0,0,P4*'Facility Info Input'!$F$12)),0)</f>
        <v>0</v>
      </c>
      <c r="T4" s="32">
        <f t="shared" si="0"/>
        <v>0</v>
      </c>
      <c r="U4" s="33">
        <f t="shared" si="1"/>
        <v>0</v>
      </c>
    </row>
    <row r="5" spans="1:21">
      <c r="A5" s="76"/>
      <c r="B5" s="77"/>
      <c r="C5" s="81"/>
      <c r="D5" s="82"/>
      <c r="E5" s="82"/>
      <c r="F5" s="83"/>
      <c r="G5" s="84"/>
      <c r="H5" s="85"/>
      <c r="I5" s="71" t="e">
        <f>#REF!&amp;" "&amp;StaffPayroll[[#This Row],[Employee ID Number / Code]]</f>
        <v>#REF!</v>
      </c>
      <c r="J5" s="71" t="str">
        <f>_xlfn.IFNA(VLOOKUP(StaffPayroll[[#This Row],[Position / Title]],Lists!A:C,3,FALSE),"")</f>
        <v/>
      </c>
      <c r="K5" s="71">
        <f>StaffPayroll[[#This Row],[Payroll Period Ends Date (Minimum two months)]]-StaffPayroll[[#This Row],[Payroll Period Begins Date        (Must start after 6/1/2025)]]+1</f>
        <v>1</v>
      </c>
      <c r="L5" s="38">
        <f>IFERROR(IF(VLOOKUP(J5,'Facility Info Input'!$B$25:$D$34,3,FALSE)="",1,VLOOKUP(J5,'Facility Info Input'!$B$25:$D$34,3,FALSE)),0)</f>
        <v>0</v>
      </c>
      <c r="M5" s="22" t="str">
        <f>IF(StaffPayroll[[#This Row],[Employee ID Number / Code]]="","",IF(StaffPayroll[[#This Row],[Position / Title]]="","",VLOOKUP(StaffPayroll[[#This Row],[Position / Title]],Lists!A:C,2,FALSE)))</f>
        <v/>
      </c>
      <c r="N5" s="22">
        <f>IF(C5="",0,StaffPayroll[[#This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" s="31">
        <f>IF(StaffPayroll[[#This Row],[Hourly WSB  Wage Minimum]]="",0,StaffPayroll[[#This Row],[Annual NF Wage Costs after WSB Minimum]]-StaffPayroll[[#This Row],[Annual NF Wage Costs before WSB Minimum]])</f>
        <v>0</v>
      </c>
      <c r="Q5" s="31">
        <f>IFERROR(IF(StaffPayroll[[#This Row],[Annual Cost of Wage Increase included in Rate Adjustment]]=0,0,P5*'Facility Info Input'!$F$10),0)</f>
        <v>0</v>
      </c>
      <c r="R5" s="32">
        <f>IFERROR(IF(StaffPayroll[[#This Row],[Annual Cost of Wage Increase included in Rate Adjustment]]=0,0,IF('Facility Info Input'!$F$11&lt;=0,0,P5*'Facility Info Input'!$F$11)),0)</f>
        <v>0</v>
      </c>
      <c r="S5" s="32">
        <f>IFERROR(IF(StaffPayroll[[#This Row],[Annual Cost of Wage Increase included in Rate Adjustment]]=0,0,IF('Facility Info Input'!$F$12&lt;=0,0,P5*'Facility Info Input'!$F$12)),0)</f>
        <v>0</v>
      </c>
      <c r="T5" s="32">
        <f t="shared" si="0"/>
        <v>0</v>
      </c>
      <c r="U5" s="33">
        <f t="shared" si="1"/>
        <v>0</v>
      </c>
    </row>
    <row r="6" spans="1:21">
      <c r="A6" s="86"/>
      <c r="B6" s="87"/>
      <c r="C6" s="88"/>
      <c r="D6" s="82"/>
      <c r="E6" s="89"/>
      <c r="F6" s="90"/>
      <c r="G6" s="74"/>
      <c r="H6" s="85"/>
      <c r="I6" s="71" t="e">
        <f>#REF!&amp;" "&amp;StaffPayroll[[#This Row],[Employee ID Number / Code]]</f>
        <v>#REF!</v>
      </c>
      <c r="J6" s="71" t="str">
        <f>_xlfn.IFNA(VLOOKUP(StaffPayroll[[#This Row],[Position / Title]],Lists!A:C,3,FALSE),"")</f>
        <v/>
      </c>
      <c r="K6" s="71">
        <f>StaffPayroll[[#This Row],[Payroll Period Ends Date (Minimum two months)]]-StaffPayroll[[#This Row],[Payroll Period Begins Date        (Must start after 6/1/2025)]]+1</f>
        <v>1</v>
      </c>
      <c r="L6" s="38">
        <f>IFERROR(IF(VLOOKUP(J6,'Facility Info Input'!$B$25:$D$34,3,FALSE)="",1,VLOOKUP(J6,'Facility Info Input'!$B$25:$D$34,3,FALSE)),0)</f>
        <v>0</v>
      </c>
      <c r="M6" s="22" t="str">
        <f>IF(StaffPayroll[[#This Row],[Employee ID Number / Code]]="","",IF(StaffPayroll[[#This Row],[Position / Title]]="","",VLOOKUP(StaffPayroll[[#This Row],[Position / Title]],Lists!A:C,2,FALSE)))</f>
        <v/>
      </c>
      <c r="N6" s="22">
        <f>IF(C6="",0,StaffPayroll[[#This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" s="31">
        <f>IF(StaffPayroll[[#This Row],[Hourly WSB  Wage Minimum]]="",0,StaffPayroll[[#This Row],[Annual NF Wage Costs after WSB Minimum]]-StaffPayroll[[#This Row],[Annual NF Wage Costs before WSB Minimum]])</f>
        <v>0</v>
      </c>
      <c r="Q6" s="31">
        <f>IFERROR(IF(StaffPayroll[[#This Row],[Annual Cost of Wage Increase included in Rate Adjustment]]=0,0,P6*'Facility Info Input'!$F$10),0)</f>
        <v>0</v>
      </c>
      <c r="R6" s="32">
        <f>IFERROR(IF(StaffPayroll[[#This Row],[Annual Cost of Wage Increase included in Rate Adjustment]]=0,0,IF('Facility Info Input'!$F$11&lt;=0,0,P6*'Facility Info Input'!$F$11)),0)</f>
        <v>0</v>
      </c>
      <c r="S6" s="32">
        <f>IFERROR(IF(StaffPayroll[[#This Row],[Annual Cost of Wage Increase included in Rate Adjustment]]=0,0,IF('Facility Info Input'!$F$12&lt;=0,0,P6*'Facility Info Input'!$F$12)),0)</f>
        <v>0</v>
      </c>
      <c r="T6" s="32">
        <f t="shared" si="0"/>
        <v>0</v>
      </c>
      <c r="U6" s="33">
        <f t="shared" si="1"/>
        <v>0</v>
      </c>
    </row>
    <row r="7" spans="1:21">
      <c r="A7" s="86"/>
      <c r="B7" s="87"/>
      <c r="C7" s="88"/>
      <c r="D7" s="82"/>
      <c r="E7" s="89"/>
      <c r="F7" s="90"/>
      <c r="G7" s="74"/>
      <c r="H7" s="85"/>
      <c r="I7" s="71" t="e">
        <f>#REF!&amp;" "&amp;StaffPayroll[[#This Row],[Employee ID Number / Code]]</f>
        <v>#REF!</v>
      </c>
      <c r="J7" s="71" t="str">
        <f>_xlfn.IFNA(VLOOKUP(StaffPayroll[[#This Row],[Position / Title]],Lists!A:C,3,FALSE),"")</f>
        <v/>
      </c>
      <c r="K7" s="71">
        <f>StaffPayroll[[#This Row],[Payroll Period Ends Date (Minimum two months)]]-StaffPayroll[[#This Row],[Payroll Period Begins Date        (Must start after 6/1/2025)]]+1</f>
        <v>1</v>
      </c>
      <c r="L7" s="38">
        <f>IFERROR(IF(VLOOKUP(J7,'Facility Info Input'!$B$25:$D$34,3,FALSE)="",1,VLOOKUP(J7,'Facility Info Input'!$B$25:$D$34,3,FALSE)),0)</f>
        <v>0</v>
      </c>
      <c r="M7" s="22" t="str">
        <f>IF(StaffPayroll[[#This Row],[Employee ID Number / Code]]="","",IF(StaffPayroll[[#This Row],[Position / Title]]="","",VLOOKUP(StaffPayroll[[#This Row],[Position / Title]],Lists!A:C,2,FALSE)))</f>
        <v/>
      </c>
      <c r="N7" s="22">
        <f>IF(C7="",0,StaffPayroll[[#This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" s="31">
        <f>IF(StaffPayroll[[#This Row],[Hourly WSB  Wage Minimum]]="",0,StaffPayroll[[#This Row],[Annual NF Wage Costs after WSB Minimum]]-StaffPayroll[[#This Row],[Annual NF Wage Costs before WSB Minimum]])</f>
        <v>0</v>
      </c>
      <c r="Q7" s="31">
        <f>IFERROR(IF(StaffPayroll[[#This Row],[Annual Cost of Wage Increase included in Rate Adjustment]]=0,0,P7*'Facility Info Input'!$F$10),0)</f>
        <v>0</v>
      </c>
      <c r="R7" s="32">
        <f>IFERROR(IF(StaffPayroll[[#This Row],[Annual Cost of Wage Increase included in Rate Adjustment]]=0,0,IF('Facility Info Input'!$F$11&lt;=0,0,P7*'Facility Info Input'!$F$11)),0)</f>
        <v>0</v>
      </c>
      <c r="S7" s="32">
        <f>IFERROR(IF(StaffPayroll[[#This Row],[Annual Cost of Wage Increase included in Rate Adjustment]]=0,0,IF('Facility Info Input'!$F$12&lt;=0,0,P7*'Facility Info Input'!$F$12)),0)</f>
        <v>0</v>
      </c>
      <c r="T7" s="32">
        <f t="shared" si="0"/>
        <v>0</v>
      </c>
      <c r="U7" s="33">
        <f t="shared" si="1"/>
        <v>0</v>
      </c>
    </row>
    <row r="8" spans="1:21">
      <c r="A8" s="86"/>
      <c r="B8" s="87"/>
      <c r="C8" s="88"/>
      <c r="D8" s="89"/>
      <c r="E8" s="89"/>
      <c r="F8" s="90"/>
      <c r="G8" s="74"/>
      <c r="H8" s="85"/>
      <c r="I8" s="71" t="e">
        <f>#REF!&amp;" "&amp;StaffPayroll[[#This Row],[Employee ID Number / Code]]</f>
        <v>#REF!</v>
      </c>
      <c r="J8" s="71" t="str">
        <f>_xlfn.IFNA(VLOOKUP(StaffPayroll[[#This Row],[Position / Title]],Lists!A:C,3,FALSE),"")</f>
        <v/>
      </c>
      <c r="K8" s="71">
        <f>StaffPayroll[[#This Row],[Payroll Period Ends Date (Minimum two months)]]-StaffPayroll[[#This Row],[Payroll Period Begins Date        (Must start after 6/1/2025)]]+1</f>
        <v>1</v>
      </c>
      <c r="L8" s="38">
        <f>IFERROR(IF(VLOOKUP(J8,'Facility Info Input'!$B$25:$D$34,3,FALSE)="",1,VLOOKUP(J8,'Facility Info Input'!$B$25:$D$34,3,FALSE)),0)</f>
        <v>0</v>
      </c>
      <c r="M8" s="22" t="str">
        <f>IF(StaffPayroll[[#This Row],[Employee ID Number / Code]]="","",IF(StaffPayroll[[#This Row],[Position / Title]]="","",VLOOKUP(StaffPayroll[[#This Row],[Position / Title]],Lists!A:C,2,FALSE)))</f>
        <v/>
      </c>
      <c r="N8" s="22">
        <f>IF(C8="",0,StaffPayroll[[#This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" s="31">
        <f>IF(StaffPayroll[[#This Row],[Hourly WSB  Wage Minimum]]="",0,StaffPayroll[[#This Row],[Annual NF Wage Costs after WSB Minimum]]-StaffPayroll[[#This Row],[Annual NF Wage Costs before WSB Minimum]])</f>
        <v>0</v>
      </c>
      <c r="Q8" s="31">
        <f>IFERROR(IF(StaffPayroll[[#This Row],[Annual Cost of Wage Increase included in Rate Adjustment]]=0,0,P8*'Facility Info Input'!$F$10),0)</f>
        <v>0</v>
      </c>
      <c r="R8" s="32">
        <f>IFERROR(IF(StaffPayroll[[#This Row],[Annual Cost of Wage Increase included in Rate Adjustment]]=0,0,IF('Facility Info Input'!$F$11&lt;=0,0,P8*'Facility Info Input'!$F$11)),0)</f>
        <v>0</v>
      </c>
      <c r="S8" s="32">
        <f>IFERROR(IF(StaffPayroll[[#This Row],[Annual Cost of Wage Increase included in Rate Adjustment]]=0,0,IF('Facility Info Input'!$F$12&lt;=0,0,P8*'Facility Info Input'!$F$12)),0)</f>
        <v>0</v>
      </c>
      <c r="T8" s="32">
        <f t="shared" si="0"/>
        <v>0</v>
      </c>
      <c r="U8" s="33">
        <f t="shared" si="1"/>
        <v>0</v>
      </c>
    </row>
    <row r="9" spans="1:21">
      <c r="A9" s="86"/>
      <c r="B9" s="87"/>
      <c r="C9" s="88"/>
      <c r="D9" s="89"/>
      <c r="E9" s="89"/>
      <c r="F9" s="90"/>
      <c r="G9" s="74"/>
      <c r="H9" s="85"/>
      <c r="I9" s="71" t="e">
        <f>#REF!&amp;" "&amp;StaffPayroll[[#This Row],[Employee ID Number / Code]]</f>
        <v>#REF!</v>
      </c>
      <c r="J9" s="71" t="str">
        <f>_xlfn.IFNA(VLOOKUP(StaffPayroll[[#This Row],[Position / Title]],Lists!A:C,3,FALSE),"")</f>
        <v/>
      </c>
      <c r="K9" s="71">
        <f>StaffPayroll[[#This Row],[Payroll Period Ends Date (Minimum two months)]]-StaffPayroll[[#This Row],[Payroll Period Begins Date        (Must start after 6/1/2025)]]+1</f>
        <v>1</v>
      </c>
      <c r="L9" s="38">
        <f>IFERROR(IF(VLOOKUP(J9,'Facility Info Input'!$B$25:$D$34,3,FALSE)="",1,VLOOKUP(J9,'Facility Info Input'!$B$25:$D$34,3,FALSE)),0)</f>
        <v>0</v>
      </c>
      <c r="M9" s="22" t="str">
        <f>IF(StaffPayroll[[#This Row],[Employee ID Number / Code]]="","",IF(StaffPayroll[[#This Row],[Position / Title]]="","",VLOOKUP(StaffPayroll[[#This Row],[Position / Title]],Lists!A:C,2,FALSE)))</f>
        <v/>
      </c>
      <c r="N9" s="22">
        <f>IF(C9="",0,StaffPayroll[[#This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" s="31">
        <f>IF(StaffPayroll[[#This Row],[Hourly WSB  Wage Minimum]]="",0,StaffPayroll[[#This Row],[Annual NF Wage Costs after WSB Minimum]]-StaffPayroll[[#This Row],[Annual NF Wage Costs before WSB Minimum]])</f>
        <v>0</v>
      </c>
      <c r="Q9" s="31">
        <f>IFERROR(IF(StaffPayroll[[#This Row],[Annual Cost of Wage Increase included in Rate Adjustment]]=0,0,P9*'Facility Info Input'!$F$10),0)</f>
        <v>0</v>
      </c>
      <c r="R9" s="32">
        <f>IFERROR(IF(StaffPayroll[[#This Row],[Annual Cost of Wage Increase included in Rate Adjustment]]=0,0,IF('Facility Info Input'!$F$11&lt;=0,0,P9*'Facility Info Input'!$F$11)),0)</f>
        <v>0</v>
      </c>
      <c r="S9" s="32">
        <f>IFERROR(IF(StaffPayroll[[#This Row],[Annual Cost of Wage Increase included in Rate Adjustment]]=0,0,IF('Facility Info Input'!$F$12&lt;=0,0,P9*'Facility Info Input'!$F$12)),0)</f>
        <v>0</v>
      </c>
      <c r="T9" s="32">
        <f t="shared" si="0"/>
        <v>0</v>
      </c>
      <c r="U9" s="33">
        <f t="shared" si="1"/>
        <v>0</v>
      </c>
    </row>
    <row r="10" spans="1:21">
      <c r="A10" s="86"/>
      <c r="B10" s="87"/>
      <c r="C10" s="88"/>
      <c r="D10" s="89"/>
      <c r="E10" s="89"/>
      <c r="F10" s="90"/>
      <c r="G10" s="74"/>
      <c r="H10" s="85"/>
      <c r="I10" s="71" t="e">
        <f>#REF!&amp;" "&amp;StaffPayroll[[#This Row],[Employee ID Number / Code]]</f>
        <v>#REF!</v>
      </c>
      <c r="J10" s="71" t="str">
        <f>_xlfn.IFNA(VLOOKUP(StaffPayroll[[#This Row],[Position / Title]],Lists!A:C,3,FALSE),"")</f>
        <v/>
      </c>
      <c r="K10" s="71">
        <f>StaffPayroll[[#This Row],[Payroll Period Ends Date (Minimum two months)]]-StaffPayroll[[#This Row],[Payroll Period Begins Date        (Must start after 6/1/2025)]]+1</f>
        <v>1</v>
      </c>
      <c r="L10" s="38">
        <f>IFERROR(IF(VLOOKUP(J10,'Facility Info Input'!$B$25:$D$34,3,FALSE)="",1,VLOOKUP(J10,'Facility Info Input'!$B$25:$D$34,3,FALSE)),0)</f>
        <v>0</v>
      </c>
      <c r="M10" s="22" t="str">
        <f>IF(StaffPayroll[[#This Row],[Employee ID Number / Code]]="","",IF(StaffPayroll[[#This Row],[Position / Title]]="","",VLOOKUP(StaffPayroll[[#This Row],[Position / Title]],Lists!A:C,2,FALSE)))</f>
        <v/>
      </c>
      <c r="N10" s="22">
        <f>IF(C10="",0,StaffPayroll[[#This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" s="31">
        <f>IF(StaffPayroll[[#This Row],[Hourly WSB  Wage Minimum]]="",0,StaffPayroll[[#This Row],[Annual NF Wage Costs after WSB Minimum]]-StaffPayroll[[#This Row],[Annual NF Wage Costs before WSB Minimum]])</f>
        <v>0</v>
      </c>
      <c r="Q10" s="31">
        <f>IFERROR(IF(StaffPayroll[[#This Row],[Annual Cost of Wage Increase included in Rate Adjustment]]=0,0,P10*'Facility Info Input'!$F$10),0)</f>
        <v>0</v>
      </c>
      <c r="R10" s="32">
        <f>IFERROR(IF(StaffPayroll[[#This Row],[Annual Cost of Wage Increase included in Rate Adjustment]]=0,0,IF('Facility Info Input'!$F$11&lt;=0,0,P10*'Facility Info Input'!$F$11)),0)</f>
        <v>0</v>
      </c>
      <c r="S10" s="32">
        <f>IFERROR(IF(StaffPayroll[[#This Row],[Annual Cost of Wage Increase included in Rate Adjustment]]=0,0,IF('Facility Info Input'!$F$12&lt;=0,0,P10*'Facility Info Input'!$F$12)),0)</f>
        <v>0</v>
      </c>
      <c r="T10" s="32">
        <f t="shared" si="0"/>
        <v>0</v>
      </c>
      <c r="U10" s="33">
        <f t="shared" si="1"/>
        <v>0</v>
      </c>
    </row>
    <row r="11" spans="1:21">
      <c r="A11" s="76"/>
      <c r="B11" s="77"/>
      <c r="C11" s="81"/>
      <c r="D11" s="82"/>
      <c r="E11" s="82"/>
      <c r="F11" s="83"/>
      <c r="G11" s="84"/>
      <c r="H11" s="85"/>
      <c r="I11" s="71" t="e">
        <f>#REF!&amp;" "&amp;StaffPayroll[[#This Row],[Employee ID Number / Code]]</f>
        <v>#REF!</v>
      </c>
      <c r="J11" s="71" t="str">
        <f>_xlfn.IFNA(VLOOKUP(StaffPayroll[[#This Row],[Position / Title]],Lists!A:C,3,FALSE),"")</f>
        <v/>
      </c>
      <c r="K11" s="71">
        <f>StaffPayroll[[#This Row],[Payroll Period Ends Date (Minimum two months)]]-StaffPayroll[[#This Row],[Payroll Period Begins Date        (Must start after 6/1/2025)]]+1</f>
        <v>1</v>
      </c>
      <c r="L11" s="38">
        <f>IFERROR(IF(VLOOKUP(J11,'Facility Info Input'!$B$25:$D$34,3,FALSE)="",1,VLOOKUP(J11,'Facility Info Input'!$B$25:$D$34,3,FALSE)),0)</f>
        <v>0</v>
      </c>
      <c r="M11" s="22" t="str">
        <f>IF(StaffPayroll[[#This Row],[Employee ID Number / Code]]="","",IF(StaffPayroll[[#This Row],[Position / Title]]="","",VLOOKUP(StaffPayroll[[#This Row],[Position / Title]],Lists!A:C,2,FALSE)))</f>
        <v/>
      </c>
      <c r="N11" s="22">
        <f>IF(C11="",0,StaffPayroll[[#This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" s="31">
        <f>IF(StaffPayroll[[#This Row],[Hourly WSB  Wage Minimum]]="",0,StaffPayroll[[#This Row],[Annual NF Wage Costs after WSB Minimum]]-StaffPayroll[[#This Row],[Annual NF Wage Costs before WSB Minimum]])</f>
        <v>0</v>
      </c>
      <c r="Q11" s="31">
        <f>IFERROR(IF(StaffPayroll[[#This Row],[Annual Cost of Wage Increase included in Rate Adjustment]]=0,0,P11*'Facility Info Input'!$F$10),0)</f>
        <v>0</v>
      </c>
      <c r="R11" s="32">
        <f>IFERROR(IF(StaffPayroll[[#This Row],[Annual Cost of Wage Increase included in Rate Adjustment]]=0,0,IF('Facility Info Input'!$F$11&lt;=0,0,P11*'Facility Info Input'!$F$11)),0)</f>
        <v>0</v>
      </c>
      <c r="S11" s="32">
        <f>IFERROR(IF(StaffPayroll[[#This Row],[Annual Cost of Wage Increase included in Rate Adjustment]]=0,0,IF('Facility Info Input'!$F$12&lt;=0,0,P11*'Facility Info Input'!$F$12)),0)</f>
        <v>0</v>
      </c>
      <c r="T11" s="32">
        <f t="shared" si="0"/>
        <v>0</v>
      </c>
      <c r="U11" s="33">
        <f t="shared" si="1"/>
        <v>0</v>
      </c>
    </row>
    <row r="12" spans="1:21">
      <c r="A12" s="76"/>
      <c r="B12" s="77"/>
      <c r="C12" s="81"/>
      <c r="D12" s="82"/>
      <c r="E12" s="82"/>
      <c r="F12" s="83"/>
      <c r="G12" s="84"/>
      <c r="H12" s="85"/>
      <c r="I12" s="71" t="e">
        <f>#REF!&amp;" "&amp;StaffPayroll[[#This Row],[Employee ID Number / Code]]</f>
        <v>#REF!</v>
      </c>
      <c r="J12" s="71" t="str">
        <f>_xlfn.IFNA(VLOOKUP(StaffPayroll[[#This Row],[Position / Title]],Lists!A:C,3,FALSE),"")</f>
        <v/>
      </c>
      <c r="K12" s="71">
        <f>StaffPayroll[[#This Row],[Payroll Period Ends Date (Minimum two months)]]-StaffPayroll[[#This Row],[Payroll Period Begins Date        (Must start after 6/1/2025)]]+1</f>
        <v>1</v>
      </c>
      <c r="L12" s="38">
        <f>IFERROR(IF(VLOOKUP(J12,'Facility Info Input'!$B$25:$D$34,3,FALSE)="",1,VLOOKUP(J12,'Facility Info Input'!$B$25:$D$34,3,FALSE)),0)</f>
        <v>0</v>
      </c>
      <c r="M12" s="22" t="str">
        <f>IF(StaffPayroll[[#This Row],[Employee ID Number / Code]]="","",IF(StaffPayroll[[#This Row],[Position / Title]]="","",VLOOKUP(StaffPayroll[[#This Row],[Position / Title]],Lists!A:C,2,FALSE)))</f>
        <v/>
      </c>
      <c r="N12" s="22">
        <f>IF(C12="",0,StaffPayroll[[#This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" s="31">
        <f>IF(StaffPayroll[[#This Row],[Hourly WSB  Wage Minimum]]="",0,StaffPayroll[[#This Row],[Annual NF Wage Costs after WSB Minimum]]-StaffPayroll[[#This Row],[Annual NF Wage Costs before WSB Minimum]])</f>
        <v>0</v>
      </c>
      <c r="Q12" s="31">
        <f>IFERROR(IF(StaffPayroll[[#This Row],[Annual Cost of Wage Increase included in Rate Adjustment]]=0,0,P12*'Facility Info Input'!$F$10),0)</f>
        <v>0</v>
      </c>
      <c r="R12" s="32">
        <f>IFERROR(IF(StaffPayroll[[#This Row],[Annual Cost of Wage Increase included in Rate Adjustment]]=0,0,IF('Facility Info Input'!$F$11&lt;=0,0,P12*'Facility Info Input'!$F$11)),0)</f>
        <v>0</v>
      </c>
      <c r="S12" s="32">
        <f>IFERROR(IF(StaffPayroll[[#This Row],[Annual Cost of Wage Increase included in Rate Adjustment]]=0,0,IF('Facility Info Input'!$F$12&lt;=0,0,P12*'Facility Info Input'!$F$12)),0)</f>
        <v>0</v>
      </c>
      <c r="T12" s="32">
        <f t="shared" si="0"/>
        <v>0</v>
      </c>
      <c r="U12" s="33">
        <f t="shared" si="1"/>
        <v>0</v>
      </c>
    </row>
    <row r="13" spans="1:21">
      <c r="A13" s="76"/>
      <c r="B13" s="77"/>
      <c r="C13" s="81"/>
      <c r="D13" s="82"/>
      <c r="E13" s="82"/>
      <c r="F13" s="83"/>
      <c r="G13" s="84"/>
      <c r="H13" s="85"/>
      <c r="I13" s="71" t="e">
        <f>#REF!&amp;" "&amp;StaffPayroll[[#This Row],[Employee ID Number / Code]]</f>
        <v>#REF!</v>
      </c>
      <c r="J13" s="71" t="str">
        <f>_xlfn.IFNA(VLOOKUP(StaffPayroll[[#This Row],[Position / Title]],Lists!A:C,3,FALSE),"")</f>
        <v/>
      </c>
      <c r="K13" s="71">
        <f>StaffPayroll[[#This Row],[Payroll Period Ends Date (Minimum two months)]]-StaffPayroll[[#This Row],[Payroll Period Begins Date        (Must start after 6/1/2025)]]+1</f>
        <v>1</v>
      </c>
      <c r="L13" s="38">
        <f>IFERROR(IF(VLOOKUP(J13,'Facility Info Input'!$B$25:$D$34,3,FALSE)="",1,VLOOKUP(J13,'Facility Info Input'!$B$25:$D$34,3,FALSE)),0)</f>
        <v>0</v>
      </c>
      <c r="M13" s="22" t="str">
        <f>IF(StaffPayroll[[#This Row],[Employee ID Number / Code]]="","",IF(StaffPayroll[[#This Row],[Position / Title]]="","",VLOOKUP(StaffPayroll[[#This Row],[Position / Title]],Lists!A:C,2,FALSE)))</f>
        <v/>
      </c>
      <c r="N13" s="22">
        <f>IF(C13="",0,StaffPayroll[[#This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" s="31">
        <f>IF(StaffPayroll[[#This Row],[Hourly WSB  Wage Minimum]]="",0,StaffPayroll[[#This Row],[Annual NF Wage Costs after WSB Minimum]]-StaffPayroll[[#This Row],[Annual NF Wage Costs before WSB Minimum]])</f>
        <v>0</v>
      </c>
      <c r="Q13" s="31">
        <f>IFERROR(IF(StaffPayroll[[#This Row],[Annual Cost of Wage Increase included in Rate Adjustment]]=0,0,P13*'Facility Info Input'!$F$10),0)</f>
        <v>0</v>
      </c>
      <c r="R13" s="32">
        <f>IFERROR(IF(StaffPayroll[[#This Row],[Annual Cost of Wage Increase included in Rate Adjustment]]=0,0,IF('Facility Info Input'!$F$11&lt;=0,0,P13*'Facility Info Input'!$F$11)),0)</f>
        <v>0</v>
      </c>
      <c r="S13" s="32">
        <f>IFERROR(IF(StaffPayroll[[#This Row],[Annual Cost of Wage Increase included in Rate Adjustment]]=0,0,IF('Facility Info Input'!$F$12&lt;=0,0,P13*'Facility Info Input'!$F$12)),0)</f>
        <v>0</v>
      </c>
      <c r="T13" s="32">
        <f t="shared" si="0"/>
        <v>0</v>
      </c>
      <c r="U13" s="33">
        <f t="shared" si="1"/>
        <v>0</v>
      </c>
    </row>
    <row r="14" spans="1:21">
      <c r="A14" s="76"/>
      <c r="B14" s="77"/>
      <c r="C14" s="81"/>
      <c r="D14" s="82"/>
      <c r="E14" s="82"/>
      <c r="F14" s="83"/>
      <c r="G14" s="84"/>
      <c r="H14" s="85"/>
      <c r="I14" s="71" t="e">
        <f>#REF!&amp;" "&amp;StaffPayroll[[#This Row],[Employee ID Number / Code]]</f>
        <v>#REF!</v>
      </c>
      <c r="J14" s="71" t="str">
        <f>_xlfn.IFNA(VLOOKUP(StaffPayroll[[#This Row],[Position / Title]],Lists!A:C,3,FALSE),"")</f>
        <v/>
      </c>
      <c r="K14" s="71">
        <f>StaffPayroll[[#This Row],[Payroll Period Ends Date (Minimum two months)]]-StaffPayroll[[#This Row],[Payroll Period Begins Date        (Must start after 6/1/2025)]]+1</f>
        <v>1</v>
      </c>
      <c r="L14" s="38">
        <f>IFERROR(IF(VLOOKUP(J14,'Facility Info Input'!$B$25:$D$34,3,FALSE)="",1,VLOOKUP(J14,'Facility Info Input'!$B$25:$D$34,3,FALSE)),0)</f>
        <v>0</v>
      </c>
      <c r="M14" s="22" t="str">
        <f>IF(StaffPayroll[[#This Row],[Employee ID Number / Code]]="","",IF(StaffPayroll[[#This Row],[Position / Title]]="","",VLOOKUP(StaffPayroll[[#This Row],[Position / Title]],Lists!A:C,2,FALSE)))</f>
        <v/>
      </c>
      <c r="N14" s="22">
        <f>IF(C14="",0,StaffPayroll[[#This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" s="31">
        <f>IF(StaffPayroll[[#This Row],[Hourly WSB  Wage Minimum]]="",0,StaffPayroll[[#This Row],[Annual NF Wage Costs after WSB Minimum]]-StaffPayroll[[#This Row],[Annual NF Wage Costs before WSB Minimum]])</f>
        <v>0</v>
      </c>
      <c r="Q14" s="31">
        <f>IFERROR(IF(StaffPayroll[[#This Row],[Annual Cost of Wage Increase included in Rate Adjustment]]=0,0,P14*'Facility Info Input'!$F$10),0)</f>
        <v>0</v>
      </c>
      <c r="R14" s="32">
        <f>IFERROR(IF(StaffPayroll[[#This Row],[Annual Cost of Wage Increase included in Rate Adjustment]]=0,0,IF('Facility Info Input'!$F$11&lt;=0,0,P14*'Facility Info Input'!$F$11)),0)</f>
        <v>0</v>
      </c>
      <c r="S14" s="32">
        <f>IFERROR(IF(StaffPayroll[[#This Row],[Annual Cost of Wage Increase included in Rate Adjustment]]=0,0,IF('Facility Info Input'!$F$12&lt;=0,0,P14*'Facility Info Input'!$F$12)),0)</f>
        <v>0</v>
      </c>
      <c r="T14" s="32">
        <f t="shared" si="0"/>
        <v>0</v>
      </c>
      <c r="U14" s="33">
        <f t="shared" si="1"/>
        <v>0</v>
      </c>
    </row>
    <row r="15" spans="1:21">
      <c r="A15" s="76"/>
      <c r="B15" s="77"/>
      <c r="C15" s="81"/>
      <c r="D15" s="82"/>
      <c r="E15" s="82"/>
      <c r="F15" s="83"/>
      <c r="G15" s="84"/>
      <c r="H15" s="85"/>
      <c r="I15" s="71" t="e">
        <f>#REF!&amp;" "&amp;StaffPayroll[[#This Row],[Employee ID Number / Code]]</f>
        <v>#REF!</v>
      </c>
      <c r="J15" s="71" t="str">
        <f>_xlfn.IFNA(VLOOKUP(StaffPayroll[[#This Row],[Position / Title]],Lists!A:C,3,FALSE),"")</f>
        <v/>
      </c>
      <c r="K15" s="71">
        <f>StaffPayroll[[#This Row],[Payroll Period Ends Date (Minimum two months)]]-StaffPayroll[[#This Row],[Payroll Period Begins Date        (Must start after 6/1/2025)]]+1</f>
        <v>1</v>
      </c>
      <c r="L15" s="38">
        <f>IFERROR(IF(VLOOKUP(J15,'Facility Info Input'!$B$25:$D$34,3,FALSE)="",1,VLOOKUP(J15,'Facility Info Input'!$B$25:$D$34,3,FALSE)),0)</f>
        <v>0</v>
      </c>
      <c r="M15" s="22" t="str">
        <f>IF(StaffPayroll[[#This Row],[Employee ID Number / Code]]="","",IF(StaffPayroll[[#This Row],[Position / Title]]="","",VLOOKUP(StaffPayroll[[#This Row],[Position / Title]],Lists!A:C,2,FALSE)))</f>
        <v/>
      </c>
      <c r="N15" s="22">
        <f>IF(C15="",0,StaffPayroll[[#This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" s="31">
        <f>IF(StaffPayroll[[#This Row],[Hourly WSB  Wage Minimum]]="",0,StaffPayroll[[#This Row],[Annual NF Wage Costs after WSB Minimum]]-StaffPayroll[[#This Row],[Annual NF Wage Costs before WSB Minimum]])</f>
        <v>0</v>
      </c>
      <c r="Q15" s="31">
        <f>IFERROR(IF(StaffPayroll[[#This Row],[Annual Cost of Wage Increase included in Rate Adjustment]]=0,0,P15*'Facility Info Input'!$F$10),0)</f>
        <v>0</v>
      </c>
      <c r="R15" s="32">
        <f>IFERROR(IF(StaffPayroll[[#This Row],[Annual Cost of Wage Increase included in Rate Adjustment]]=0,0,IF('Facility Info Input'!$F$11&lt;=0,0,P15*'Facility Info Input'!$F$11)),0)</f>
        <v>0</v>
      </c>
      <c r="S15" s="32">
        <f>IFERROR(IF(StaffPayroll[[#This Row],[Annual Cost of Wage Increase included in Rate Adjustment]]=0,0,IF('Facility Info Input'!$F$12&lt;=0,0,P15*'Facility Info Input'!$F$12)),0)</f>
        <v>0</v>
      </c>
      <c r="T15" s="32">
        <f t="shared" si="0"/>
        <v>0</v>
      </c>
      <c r="U15" s="33">
        <f t="shared" si="1"/>
        <v>0</v>
      </c>
    </row>
    <row r="16" spans="1:21">
      <c r="A16" s="76"/>
      <c r="B16" s="77"/>
      <c r="C16" s="81"/>
      <c r="D16" s="82"/>
      <c r="E16" s="82"/>
      <c r="F16" s="83"/>
      <c r="G16" s="84"/>
      <c r="H16" s="85"/>
      <c r="I16" s="71" t="e">
        <f>#REF!&amp;" "&amp;StaffPayroll[[#This Row],[Employee ID Number / Code]]</f>
        <v>#REF!</v>
      </c>
      <c r="J16" s="71" t="str">
        <f>_xlfn.IFNA(VLOOKUP(StaffPayroll[[#This Row],[Position / Title]],Lists!A:C,3,FALSE),"")</f>
        <v/>
      </c>
      <c r="K16" s="71">
        <f>StaffPayroll[[#This Row],[Payroll Period Ends Date (Minimum two months)]]-StaffPayroll[[#This Row],[Payroll Period Begins Date        (Must start after 6/1/2025)]]+1</f>
        <v>1</v>
      </c>
      <c r="L16" s="38">
        <f>IFERROR(IF(VLOOKUP(J16,'Facility Info Input'!$B$25:$D$34,3,FALSE)="",1,VLOOKUP(J16,'Facility Info Input'!$B$25:$D$34,3,FALSE)),0)</f>
        <v>0</v>
      </c>
      <c r="M16" s="22" t="str">
        <f>IF(StaffPayroll[[#This Row],[Employee ID Number / Code]]="","",IF(StaffPayroll[[#This Row],[Position / Title]]="","",VLOOKUP(StaffPayroll[[#This Row],[Position / Title]],Lists!A:C,2,FALSE)))</f>
        <v/>
      </c>
      <c r="N16" s="22">
        <f>IF(C16="",0,StaffPayroll[[#This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" s="31">
        <f>IF(StaffPayroll[[#This Row],[Hourly WSB  Wage Minimum]]="",0,StaffPayroll[[#This Row],[Annual NF Wage Costs after WSB Minimum]]-StaffPayroll[[#This Row],[Annual NF Wage Costs before WSB Minimum]])</f>
        <v>0</v>
      </c>
      <c r="Q16" s="31">
        <f>IFERROR(IF(StaffPayroll[[#This Row],[Annual Cost of Wage Increase included in Rate Adjustment]]=0,0,P16*'Facility Info Input'!$F$10),0)</f>
        <v>0</v>
      </c>
      <c r="R16" s="32">
        <f>IFERROR(IF(StaffPayroll[[#This Row],[Annual Cost of Wage Increase included in Rate Adjustment]]=0,0,IF('Facility Info Input'!$F$11&lt;=0,0,P16*'Facility Info Input'!$F$11)),0)</f>
        <v>0</v>
      </c>
      <c r="S16" s="32">
        <f>IFERROR(IF(StaffPayroll[[#This Row],[Annual Cost of Wage Increase included in Rate Adjustment]]=0,0,IF('Facility Info Input'!$F$12&lt;=0,0,P16*'Facility Info Input'!$F$12)),0)</f>
        <v>0</v>
      </c>
      <c r="T16" s="32">
        <f t="shared" si="0"/>
        <v>0</v>
      </c>
      <c r="U16" s="33">
        <f t="shared" si="1"/>
        <v>0</v>
      </c>
    </row>
    <row r="17" spans="1:21">
      <c r="A17" s="76"/>
      <c r="B17" s="77"/>
      <c r="C17" s="81"/>
      <c r="D17" s="82"/>
      <c r="E17" s="82"/>
      <c r="F17" s="83"/>
      <c r="G17" s="84"/>
      <c r="H17" s="85"/>
      <c r="I17" s="71" t="e">
        <f>#REF!&amp;" "&amp;StaffPayroll[[#This Row],[Employee ID Number / Code]]</f>
        <v>#REF!</v>
      </c>
      <c r="J17" s="71" t="str">
        <f>_xlfn.IFNA(VLOOKUP(StaffPayroll[[#This Row],[Position / Title]],Lists!A:C,3,FALSE),"")</f>
        <v/>
      </c>
      <c r="K17" s="71">
        <f>StaffPayroll[[#This Row],[Payroll Period Ends Date (Minimum two months)]]-StaffPayroll[[#This Row],[Payroll Period Begins Date        (Must start after 6/1/2025)]]+1</f>
        <v>1</v>
      </c>
      <c r="L17" s="38">
        <f>IFERROR(IF(VLOOKUP(J17,'Facility Info Input'!$B$25:$D$34,3,FALSE)="",1,VLOOKUP(J17,'Facility Info Input'!$B$25:$D$34,3,FALSE)),0)</f>
        <v>0</v>
      </c>
      <c r="M17" s="22" t="str">
        <f>IF(StaffPayroll[[#This Row],[Employee ID Number / Code]]="","",IF(StaffPayroll[[#This Row],[Position / Title]]="","",VLOOKUP(StaffPayroll[[#This Row],[Position / Title]],Lists!A:C,2,FALSE)))</f>
        <v/>
      </c>
      <c r="N17" s="22">
        <f>IF(C17="",0,StaffPayroll[[#This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" s="31">
        <f>IF(StaffPayroll[[#This Row],[Hourly WSB  Wage Minimum]]="",0,StaffPayroll[[#This Row],[Annual NF Wage Costs after WSB Minimum]]-StaffPayroll[[#This Row],[Annual NF Wage Costs before WSB Minimum]])</f>
        <v>0</v>
      </c>
      <c r="Q17" s="31">
        <f>IFERROR(IF(StaffPayroll[[#This Row],[Annual Cost of Wage Increase included in Rate Adjustment]]=0,0,P17*'Facility Info Input'!$F$10),0)</f>
        <v>0</v>
      </c>
      <c r="R17" s="32">
        <f>IFERROR(IF(StaffPayroll[[#This Row],[Annual Cost of Wage Increase included in Rate Adjustment]]=0,0,IF('Facility Info Input'!$F$11&lt;=0,0,P17*'Facility Info Input'!$F$11)),0)</f>
        <v>0</v>
      </c>
      <c r="S17" s="32">
        <f>IFERROR(IF(StaffPayroll[[#This Row],[Annual Cost of Wage Increase included in Rate Adjustment]]=0,0,IF('Facility Info Input'!$F$12&lt;=0,0,P17*'Facility Info Input'!$F$12)),0)</f>
        <v>0</v>
      </c>
      <c r="T17" s="32">
        <f t="shared" si="0"/>
        <v>0</v>
      </c>
      <c r="U17" s="33">
        <f t="shared" si="1"/>
        <v>0</v>
      </c>
    </row>
    <row r="18" spans="1:21">
      <c r="A18" s="76"/>
      <c r="B18" s="77"/>
      <c r="C18" s="81"/>
      <c r="D18" s="82"/>
      <c r="E18" s="82"/>
      <c r="F18" s="83"/>
      <c r="G18" s="84"/>
      <c r="H18" s="85"/>
      <c r="I18" s="71" t="e">
        <f>#REF!&amp;" "&amp;StaffPayroll[[#This Row],[Employee ID Number / Code]]</f>
        <v>#REF!</v>
      </c>
      <c r="J18" s="71" t="str">
        <f>_xlfn.IFNA(VLOOKUP(StaffPayroll[[#This Row],[Position / Title]],Lists!A:C,3,FALSE),"")</f>
        <v/>
      </c>
      <c r="K18" s="71">
        <f>StaffPayroll[[#This Row],[Payroll Period Ends Date (Minimum two months)]]-StaffPayroll[[#This Row],[Payroll Period Begins Date        (Must start after 6/1/2025)]]+1</f>
        <v>1</v>
      </c>
      <c r="L18" s="38">
        <f>IFERROR(IF(VLOOKUP(J18,'Facility Info Input'!$B$25:$D$34,3,FALSE)="",1,VLOOKUP(J18,'Facility Info Input'!$B$25:$D$34,3,FALSE)),0)</f>
        <v>0</v>
      </c>
      <c r="M18" s="22" t="str">
        <f>IF(StaffPayroll[[#This Row],[Employee ID Number / Code]]="","",IF(StaffPayroll[[#This Row],[Position / Title]]="","",VLOOKUP(StaffPayroll[[#This Row],[Position / Title]],Lists!A:C,2,FALSE)))</f>
        <v/>
      </c>
      <c r="N18" s="22">
        <f>IF(C18="",0,StaffPayroll[[#This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" s="31">
        <f>IF(StaffPayroll[[#This Row],[Hourly WSB  Wage Minimum]]="",0,StaffPayroll[[#This Row],[Annual NF Wage Costs after WSB Minimum]]-StaffPayroll[[#This Row],[Annual NF Wage Costs before WSB Minimum]])</f>
        <v>0</v>
      </c>
      <c r="Q18" s="31">
        <f>IFERROR(IF(StaffPayroll[[#This Row],[Annual Cost of Wage Increase included in Rate Adjustment]]=0,0,P18*'Facility Info Input'!$F$10),0)</f>
        <v>0</v>
      </c>
      <c r="R18" s="32">
        <f>IFERROR(IF(StaffPayroll[[#This Row],[Annual Cost of Wage Increase included in Rate Adjustment]]=0,0,IF('Facility Info Input'!$F$11&lt;=0,0,P18*'Facility Info Input'!$F$11)),0)</f>
        <v>0</v>
      </c>
      <c r="S18" s="32">
        <f>IFERROR(IF(StaffPayroll[[#This Row],[Annual Cost of Wage Increase included in Rate Adjustment]]=0,0,IF('Facility Info Input'!$F$12&lt;=0,0,P18*'Facility Info Input'!$F$12)),0)</f>
        <v>0</v>
      </c>
      <c r="T18" s="32">
        <f t="shared" si="0"/>
        <v>0</v>
      </c>
      <c r="U18" s="33">
        <f t="shared" si="1"/>
        <v>0</v>
      </c>
    </row>
    <row r="19" spans="1:21">
      <c r="A19" s="76"/>
      <c r="B19" s="77"/>
      <c r="C19" s="81"/>
      <c r="D19" s="82"/>
      <c r="E19" s="82"/>
      <c r="F19" s="83"/>
      <c r="G19" s="84"/>
      <c r="H19" s="85"/>
      <c r="I19" s="71" t="e">
        <f>#REF!&amp;" "&amp;StaffPayroll[[#This Row],[Employee ID Number / Code]]</f>
        <v>#REF!</v>
      </c>
      <c r="J19" s="71" t="str">
        <f>_xlfn.IFNA(VLOOKUP(StaffPayroll[[#This Row],[Position / Title]],Lists!A:C,3,FALSE),"")</f>
        <v/>
      </c>
      <c r="K19" s="71">
        <f>StaffPayroll[[#This Row],[Payroll Period Ends Date (Minimum two months)]]-StaffPayroll[[#This Row],[Payroll Period Begins Date        (Must start after 6/1/2025)]]+1</f>
        <v>1</v>
      </c>
      <c r="L19" s="38">
        <f>IFERROR(IF(VLOOKUP(J19,'Facility Info Input'!$B$25:$D$34,3,FALSE)="",1,VLOOKUP(J19,'Facility Info Input'!$B$25:$D$34,3,FALSE)),0)</f>
        <v>0</v>
      </c>
      <c r="M19" s="22" t="str">
        <f>IF(StaffPayroll[[#This Row],[Employee ID Number / Code]]="","",IF(StaffPayroll[[#This Row],[Position / Title]]="","",VLOOKUP(StaffPayroll[[#This Row],[Position / Title]],Lists!A:C,2,FALSE)))</f>
        <v/>
      </c>
      <c r="N19" s="22">
        <f>IF(C19="",0,StaffPayroll[[#This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" s="31">
        <f>IF(StaffPayroll[[#This Row],[Hourly WSB  Wage Minimum]]="",0,StaffPayroll[[#This Row],[Annual NF Wage Costs after WSB Minimum]]-StaffPayroll[[#This Row],[Annual NF Wage Costs before WSB Minimum]])</f>
        <v>0</v>
      </c>
      <c r="Q19" s="31">
        <f>IFERROR(IF(StaffPayroll[[#This Row],[Annual Cost of Wage Increase included in Rate Adjustment]]=0,0,P19*'Facility Info Input'!$F$10),0)</f>
        <v>0</v>
      </c>
      <c r="R19" s="32">
        <f>IFERROR(IF(StaffPayroll[[#This Row],[Annual Cost of Wage Increase included in Rate Adjustment]]=0,0,IF('Facility Info Input'!$F$11&lt;=0,0,P19*'Facility Info Input'!$F$11)),0)</f>
        <v>0</v>
      </c>
      <c r="S19" s="32">
        <f>IFERROR(IF(StaffPayroll[[#This Row],[Annual Cost of Wage Increase included in Rate Adjustment]]=0,0,IF('Facility Info Input'!$F$12&lt;=0,0,P19*'Facility Info Input'!$F$12)),0)</f>
        <v>0</v>
      </c>
      <c r="T19" s="32">
        <f t="shared" si="0"/>
        <v>0</v>
      </c>
      <c r="U19" s="33">
        <f t="shared" si="1"/>
        <v>0</v>
      </c>
    </row>
    <row r="20" spans="1:21">
      <c r="A20" s="76"/>
      <c r="B20" s="77"/>
      <c r="C20" s="81"/>
      <c r="D20" s="82"/>
      <c r="E20" s="82"/>
      <c r="F20" s="83"/>
      <c r="G20" s="84"/>
      <c r="H20" s="85"/>
      <c r="I20" s="71" t="e">
        <f>#REF!&amp;" "&amp;StaffPayroll[[#This Row],[Employee ID Number / Code]]</f>
        <v>#REF!</v>
      </c>
      <c r="J20" s="71" t="str">
        <f>_xlfn.IFNA(VLOOKUP(StaffPayroll[[#This Row],[Position / Title]],Lists!A:C,3,FALSE),"")</f>
        <v/>
      </c>
      <c r="K20" s="71">
        <f>StaffPayroll[[#This Row],[Payroll Period Ends Date (Minimum two months)]]-StaffPayroll[[#This Row],[Payroll Period Begins Date        (Must start after 6/1/2025)]]+1</f>
        <v>1</v>
      </c>
      <c r="L20" s="38">
        <f>IFERROR(IF(VLOOKUP(J20,'Facility Info Input'!$B$25:$D$34,3,FALSE)="",1,VLOOKUP(J20,'Facility Info Input'!$B$25:$D$34,3,FALSE)),0)</f>
        <v>0</v>
      </c>
      <c r="M20" s="22" t="str">
        <f>IF(StaffPayroll[[#This Row],[Employee ID Number / Code]]="","",IF(StaffPayroll[[#This Row],[Position / Title]]="","",VLOOKUP(StaffPayroll[[#This Row],[Position / Title]],Lists!A:C,2,FALSE)))</f>
        <v/>
      </c>
      <c r="N20" s="22">
        <f>IF(C20="",0,StaffPayroll[[#This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" s="31">
        <f>IF(StaffPayroll[[#This Row],[Hourly WSB  Wage Minimum]]="",0,StaffPayroll[[#This Row],[Annual NF Wage Costs after WSB Minimum]]-StaffPayroll[[#This Row],[Annual NF Wage Costs before WSB Minimum]])</f>
        <v>0</v>
      </c>
      <c r="Q20" s="31">
        <f>IFERROR(IF(StaffPayroll[[#This Row],[Annual Cost of Wage Increase included in Rate Adjustment]]=0,0,P20*'Facility Info Input'!$F$10),0)</f>
        <v>0</v>
      </c>
      <c r="R20" s="32">
        <f>IFERROR(IF(StaffPayroll[[#This Row],[Annual Cost of Wage Increase included in Rate Adjustment]]=0,0,IF('Facility Info Input'!$F$11&lt;=0,0,P20*'Facility Info Input'!$F$11)),0)</f>
        <v>0</v>
      </c>
      <c r="S20" s="32">
        <f>IFERROR(IF(StaffPayroll[[#This Row],[Annual Cost of Wage Increase included in Rate Adjustment]]=0,0,IF('Facility Info Input'!$F$12&lt;=0,0,P20*'Facility Info Input'!$F$12)),0)</f>
        <v>0</v>
      </c>
      <c r="T20" s="32">
        <f t="shared" si="0"/>
        <v>0</v>
      </c>
      <c r="U20" s="33">
        <f t="shared" si="1"/>
        <v>0</v>
      </c>
    </row>
    <row r="21" spans="1:21">
      <c r="A21" s="76"/>
      <c r="B21" s="77"/>
      <c r="C21" s="81"/>
      <c r="D21" s="82"/>
      <c r="E21" s="82"/>
      <c r="F21" s="83"/>
      <c r="G21" s="84"/>
      <c r="H21" s="85"/>
      <c r="I21" s="71" t="e">
        <f>#REF!&amp;" "&amp;StaffPayroll[[#This Row],[Employee ID Number / Code]]</f>
        <v>#REF!</v>
      </c>
      <c r="J21" s="71" t="str">
        <f>_xlfn.IFNA(VLOOKUP(StaffPayroll[[#This Row],[Position / Title]],Lists!A:C,3,FALSE),"")</f>
        <v/>
      </c>
      <c r="K21" s="71">
        <f>StaffPayroll[[#This Row],[Payroll Period Ends Date (Minimum two months)]]-StaffPayroll[[#This Row],[Payroll Period Begins Date        (Must start after 6/1/2025)]]+1</f>
        <v>1</v>
      </c>
      <c r="L21" s="38">
        <f>IFERROR(IF(VLOOKUP(J21,'Facility Info Input'!$B$25:$D$34,3,FALSE)="",1,VLOOKUP(J21,'Facility Info Input'!$B$25:$D$34,3,FALSE)),0)</f>
        <v>0</v>
      </c>
      <c r="M21" s="22" t="str">
        <f>IF(StaffPayroll[[#This Row],[Employee ID Number / Code]]="","",IF(StaffPayroll[[#This Row],[Position / Title]]="","",VLOOKUP(StaffPayroll[[#This Row],[Position / Title]],Lists!A:C,2,FALSE)))</f>
        <v/>
      </c>
      <c r="N21" s="22">
        <f>IF(C21="",0,StaffPayroll[[#This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" s="31">
        <f>IF(StaffPayroll[[#This Row],[Hourly WSB  Wage Minimum]]="",0,StaffPayroll[[#This Row],[Annual NF Wage Costs after WSB Minimum]]-StaffPayroll[[#This Row],[Annual NF Wage Costs before WSB Minimum]])</f>
        <v>0</v>
      </c>
      <c r="Q21" s="31">
        <f>IFERROR(IF(StaffPayroll[[#This Row],[Annual Cost of Wage Increase included in Rate Adjustment]]=0,0,P21*'Facility Info Input'!$F$10),0)</f>
        <v>0</v>
      </c>
      <c r="R21" s="32">
        <f>IFERROR(IF(StaffPayroll[[#This Row],[Annual Cost of Wage Increase included in Rate Adjustment]]=0,0,IF('Facility Info Input'!$F$11&lt;=0,0,P21*'Facility Info Input'!$F$11)),0)</f>
        <v>0</v>
      </c>
      <c r="S21" s="32">
        <f>IFERROR(IF(StaffPayroll[[#This Row],[Annual Cost of Wage Increase included in Rate Adjustment]]=0,0,IF('Facility Info Input'!$F$12&lt;=0,0,P21*'Facility Info Input'!$F$12)),0)</f>
        <v>0</v>
      </c>
      <c r="T21" s="32">
        <f t="shared" si="0"/>
        <v>0</v>
      </c>
      <c r="U21" s="33">
        <f t="shared" si="1"/>
        <v>0</v>
      </c>
    </row>
    <row r="22" spans="1:21">
      <c r="A22" s="76"/>
      <c r="B22" s="77"/>
      <c r="C22" s="81"/>
      <c r="D22" s="82"/>
      <c r="E22" s="82"/>
      <c r="F22" s="83"/>
      <c r="G22" s="84"/>
      <c r="H22" s="85"/>
      <c r="I22" s="71" t="e">
        <f>#REF!&amp;" "&amp;StaffPayroll[[#This Row],[Employee ID Number / Code]]</f>
        <v>#REF!</v>
      </c>
      <c r="J22" s="71" t="str">
        <f>_xlfn.IFNA(VLOOKUP(StaffPayroll[[#This Row],[Position / Title]],Lists!A:C,3,FALSE),"")</f>
        <v/>
      </c>
      <c r="K22" s="71">
        <f>StaffPayroll[[#This Row],[Payroll Period Ends Date (Minimum two months)]]-StaffPayroll[[#This Row],[Payroll Period Begins Date        (Must start after 6/1/2025)]]+1</f>
        <v>1</v>
      </c>
      <c r="L22" s="38">
        <f>IFERROR(IF(VLOOKUP(J22,'Facility Info Input'!$B$25:$D$34,3,FALSE)="",1,VLOOKUP(J22,'Facility Info Input'!$B$25:$D$34,3,FALSE)),0)</f>
        <v>0</v>
      </c>
      <c r="M22" s="22" t="str">
        <f>IF(StaffPayroll[[#This Row],[Employee ID Number / Code]]="","",IF(StaffPayroll[[#This Row],[Position / Title]]="","",VLOOKUP(StaffPayroll[[#This Row],[Position / Title]],Lists!A:C,2,FALSE)))</f>
        <v/>
      </c>
      <c r="N22" s="22">
        <f>IF(C22="",0,StaffPayroll[[#This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" s="31">
        <f>IF(StaffPayroll[[#This Row],[Hourly WSB  Wage Minimum]]="",0,StaffPayroll[[#This Row],[Annual NF Wage Costs after WSB Minimum]]-StaffPayroll[[#This Row],[Annual NF Wage Costs before WSB Minimum]])</f>
        <v>0</v>
      </c>
      <c r="Q22" s="31">
        <f>IFERROR(IF(StaffPayroll[[#This Row],[Annual Cost of Wage Increase included in Rate Adjustment]]=0,0,P22*'Facility Info Input'!$F$10),0)</f>
        <v>0</v>
      </c>
      <c r="R22" s="32">
        <f>IFERROR(IF(StaffPayroll[[#This Row],[Annual Cost of Wage Increase included in Rate Adjustment]]=0,0,IF('Facility Info Input'!$F$11&lt;=0,0,P22*'Facility Info Input'!$F$11)),0)</f>
        <v>0</v>
      </c>
      <c r="S22" s="32">
        <f>IFERROR(IF(StaffPayroll[[#This Row],[Annual Cost of Wage Increase included in Rate Adjustment]]=0,0,IF('Facility Info Input'!$F$12&lt;=0,0,P22*'Facility Info Input'!$F$12)),0)</f>
        <v>0</v>
      </c>
      <c r="T22" s="32">
        <f t="shared" si="0"/>
        <v>0</v>
      </c>
      <c r="U22" s="33">
        <f t="shared" si="1"/>
        <v>0</v>
      </c>
    </row>
    <row r="23" spans="1:21">
      <c r="A23" s="76"/>
      <c r="B23" s="77"/>
      <c r="C23" s="81"/>
      <c r="D23" s="82"/>
      <c r="E23" s="82"/>
      <c r="F23" s="83"/>
      <c r="G23" s="84"/>
      <c r="H23" s="85"/>
      <c r="I23" s="71" t="e">
        <f>#REF!&amp;" "&amp;StaffPayroll[[#This Row],[Employee ID Number / Code]]</f>
        <v>#REF!</v>
      </c>
      <c r="J23" s="71" t="str">
        <f>_xlfn.IFNA(VLOOKUP(StaffPayroll[[#This Row],[Position / Title]],Lists!A:C,3,FALSE),"")</f>
        <v/>
      </c>
      <c r="K23" s="71">
        <f>StaffPayroll[[#This Row],[Payroll Period Ends Date (Minimum two months)]]-StaffPayroll[[#This Row],[Payroll Period Begins Date        (Must start after 6/1/2025)]]+1</f>
        <v>1</v>
      </c>
      <c r="L23" s="38">
        <f>IFERROR(IF(VLOOKUP(J23,'Facility Info Input'!$B$25:$D$34,3,FALSE)="",1,VLOOKUP(J23,'Facility Info Input'!$B$25:$D$34,3,FALSE)),0)</f>
        <v>0</v>
      </c>
      <c r="M23" s="22" t="str">
        <f>IF(StaffPayroll[[#This Row],[Employee ID Number / Code]]="","",IF(StaffPayroll[[#This Row],[Position / Title]]="","",VLOOKUP(StaffPayroll[[#This Row],[Position / Title]],Lists!A:C,2,FALSE)))</f>
        <v/>
      </c>
      <c r="N23" s="22">
        <f>IF(C23="",0,StaffPayroll[[#This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" s="31">
        <f>IF(StaffPayroll[[#This Row],[Hourly WSB  Wage Minimum]]="",0,StaffPayroll[[#This Row],[Annual NF Wage Costs after WSB Minimum]]-StaffPayroll[[#This Row],[Annual NF Wage Costs before WSB Minimum]])</f>
        <v>0</v>
      </c>
      <c r="Q23" s="31">
        <f>IFERROR(IF(StaffPayroll[[#This Row],[Annual Cost of Wage Increase included in Rate Adjustment]]=0,0,P23*'Facility Info Input'!$F$10),0)</f>
        <v>0</v>
      </c>
      <c r="R23" s="32">
        <f>IFERROR(IF(StaffPayroll[[#This Row],[Annual Cost of Wage Increase included in Rate Adjustment]]=0,0,IF('Facility Info Input'!$F$11&lt;=0,0,P23*'Facility Info Input'!$F$11)),0)</f>
        <v>0</v>
      </c>
      <c r="S23" s="32">
        <f>IFERROR(IF(StaffPayroll[[#This Row],[Annual Cost of Wage Increase included in Rate Adjustment]]=0,0,IF('Facility Info Input'!$F$12&lt;=0,0,P23*'Facility Info Input'!$F$12)),0)</f>
        <v>0</v>
      </c>
      <c r="T23" s="32">
        <f t="shared" si="0"/>
        <v>0</v>
      </c>
      <c r="U23" s="33">
        <f t="shared" si="1"/>
        <v>0</v>
      </c>
    </row>
    <row r="24" spans="1:21">
      <c r="A24" s="76"/>
      <c r="B24" s="77"/>
      <c r="C24" s="81"/>
      <c r="D24" s="82"/>
      <c r="E24" s="82"/>
      <c r="F24" s="83"/>
      <c r="G24" s="84"/>
      <c r="H24" s="85"/>
      <c r="I24" s="71" t="e">
        <f>#REF!&amp;" "&amp;StaffPayroll[[#This Row],[Employee ID Number / Code]]</f>
        <v>#REF!</v>
      </c>
      <c r="J24" s="71" t="str">
        <f>_xlfn.IFNA(VLOOKUP(StaffPayroll[[#This Row],[Position / Title]],Lists!A:C,3,FALSE),"")</f>
        <v/>
      </c>
      <c r="K24" s="71">
        <f>StaffPayroll[[#This Row],[Payroll Period Ends Date (Minimum two months)]]-StaffPayroll[[#This Row],[Payroll Period Begins Date        (Must start after 6/1/2025)]]+1</f>
        <v>1</v>
      </c>
      <c r="L24" s="38">
        <f>IFERROR(IF(VLOOKUP(J24,'Facility Info Input'!$B$25:$D$34,3,FALSE)="",1,VLOOKUP(J24,'Facility Info Input'!$B$25:$D$34,3,FALSE)),0)</f>
        <v>0</v>
      </c>
      <c r="M24" s="22" t="str">
        <f>IF(StaffPayroll[[#This Row],[Employee ID Number / Code]]="","",IF(StaffPayroll[[#This Row],[Position / Title]]="","",VLOOKUP(StaffPayroll[[#This Row],[Position / Title]],Lists!A:C,2,FALSE)))</f>
        <v/>
      </c>
      <c r="N24" s="22">
        <f>IF(C24="",0,StaffPayroll[[#This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" s="31">
        <f>IF(StaffPayroll[[#This Row],[Hourly WSB  Wage Minimum]]="",0,StaffPayroll[[#This Row],[Annual NF Wage Costs after WSB Minimum]]-StaffPayroll[[#This Row],[Annual NF Wage Costs before WSB Minimum]])</f>
        <v>0</v>
      </c>
      <c r="Q24" s="31">
        <f>IFERROR(IF(StaffPayroll[[#This Row],[Annual Cost of Wage Increase included in Rate Adjustment]]=0,0,P24*'Facility Info Input'!$F$10),0)</f>
        <v>0</v>
      </c>
      <c r="R24" s="32">
        <f>IFERROR(IF(StaffPayroll[[#This Row],[Annual Cost of Wage Increase included in Rate Adjustment]]=0,0,IF('Facility Info Input'!$F$11&lt;=0,0,P24*'Facility Info Input'!$F$11)),0)</f>
        <v>0</v>
      </c>
      <c r="S24" s="32">
        <f>IFERROR(IF(StaffPayroll[[#This Row],[Annual Cost of Wage Increase included in Rate Adjustment]]=0,0,IF('Facility Info Input'!$F$12&lt;=0,0,P24*'Facility Info Input'!$F$12)),0)</f>
        <v>0</v>
      </c>
      <c r="T24" s="32">
        <f t="shared" si="0"/>
        <v>0</v>
      </c>
      <c r="U24" s="33">
        <f t="shared" si="1"/>
        <v>0</v>
      </c>
    </row>
    <row r="25" spans="1:21">
      <c r="A25" s="76"/>
      <c r="B25" s="77"/>
      <c r="C25" s="81"/>
      <c r="D25" s="82"/>
      <c r="E25" s="82"/>
      <c r="F25" s="83"/>
      <c r="G25" s="84"/>
      <c r="H25" s="85"/>
      <c r="I25" s="71" t="e">
        <f>#REF!&amp;" "&amp;StaffPayroll[[#This Row],[Employee ID Number / Code]]</f>
        <v>#REF!</v>
      </c>
      <c r="J25" s="71" t="str">
        <f>_xlfn.IFNA(VLOOKUP(StaffPayroll[[#This Row],[Position / Title]],Lists!A:C,3,FALSE),"")</f>
        <v/>
      </c>
      <c r="K25" s="71">
        <f>StaffPayroll[[#This Row],[Payroll Period Ends Date (Minimum two months)]]-StaffPayroll[[#This Row],[Payroll Period Begins Date        (Must start after 6/1/2025)]]+1</f>
        <v>1</v>
      </c>
      <c r="L25" s="38">
        <f>IFERROR(IF(VLOOKUP(J25,'Facility Info Input'!$B$25:$D$34,3,FALSE)="",1,VLOOKUP(J25,'Facility Info Input'!$B$25:$D$34,3,FALSE)),0)</f>
        <v>0</v>
      </c>
      <c r="M25" s="22" t="str">
        <f>IF(StaffPayroll[[#This Row],[Employee ID Number / Code]]="","",IF(StaffPayroll[[#This Row],[Position / Title]]="","",VLOOKUP(StaffPayroll[[#This Row],[Position / Title]],Lists!A:C,2,FALSE)))</f>
        <v/>
      </c>
      <c r="N25" s="22">
        <f>IF(C25="",0,StaffPayroll[[#This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" s="31">
        <f>IF(StaffPayroll[[#This Row],[Hourly WSB  Wage Minimum]]="",0,StaffPayroll[[#This Row],[Annual NF Wage Costs after WSB Minimum]]-StaffPayroll[[#This Row],[Annual NF Wage Costs before WSB Minimum]])</f>
        <v>0</v>
      </c>
      <c r="Q25" s="31">
        <f>IFERROR(IF(StaffPayroll[[#This Row],[Annual Cost of Wage Increase included in Rate Adjustment]]=0,0,P25*'Facility Info Input'!$F$10),0)</f>
        <v>0</v>
      </c>
      <c r="R25" s="32">
        <f>IFERROR(IF(StaffPayroll[[#This Row],[Annual Cost of Wage Increase included in Rate Adjustment]]=0,0,IF('Facility Info Input'!$F$11&lt;=0,0,P25*'Facility Info Input'!$F$11)),0)</f>
        <v>0</v>
      </c>
      <c r="S25" s="32">
        <f>IFERROR(IF(StaffPayroll[[#This Row],[Annual Cost of Wage Increase included in Rate Adjustment]]=0,0,IF('Facility Info Input'!$F$12&lt;=0,0,P25*'Facility Info Input'!$F$12)),0)</f>
        <v>0</v>
      </c>
      <c r="T25" s="32">
        <f t="shared" si="0"/>
        <v>0</v>
      </c>
      <c r="U25" s="33">
        <f t="shared" si="1"/>
        <v>0</v>
      </c>
    </row>
    <row r="26" spans="1:21">
      <c r="A26" s="76"/>
      <c r="B26" s="77"/>
      <c r="C26" s="81"/>
      <c r="D26" s="82"/>
      <c r="E26" s="82"/>
      <c r="F26" s="83"/>
      <c r="G26" s="84"/>
      <c r="H26" s="85"/>
      <c r="I26" s="71" t="e">
        <f>#REF!&amp;" "&amp;StaffPayroll[[#This Row],[Employee ID Number / Code]]</f>
        <v>#REF!</v>
      </c>
      <c r="J26" s="71" t="str">
        <f>_xlfn.IFNA(VLOOKUP(StaffPayroll[[#This Row],[Position / Title]],Lists!A:C,3,FALSE),"")</f>
        <v/>
      </c>
      <c r="K26" s="71">
        <f>StaffPayroll[[#This Row],[Payroll Period Ends Date (Minimum two months)]]-StaffPayroll[[#This Row],[Payroll Period Begins Date        (Must start after 6/1/2025)]]+1</f>
        <v>1</v>
      </c>
      <c r="L26" s="38">
        <f>IFERROR(IF(VLOOKUP(J26,'Facility Info Input'!$B$25:$D$34,3,FALSE)="",1,VLOOKUP(J26,'Facility Info Input'!$B$25:$D$34,3,FALSE)),0)</f>
        <v>0</v>
      </c>
      <c r="M26" s="22" t="str">
        <f>IF(StaffPayroll[[#This Row],[Employee ID Number / Code]]="","",IF(StaffPayroll[[#This Row],[Position / Title]]="","",VLOOKUP(StaffPayroll[[#This Row],[Position / Title]],Lists!A:C,2,FALSE)))</f>
        <v/>
      </c>
      <c r="N26" s="22">
        <f>IF(C26="",0,StaffPayroll[[#This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" s="31">
        <f>IF(StaffPayroll[[#This Row],[Hourly WSB  Wage Minimum]]="",0,StaffPayroll[[#This Row],[Annual NF Wage Costs after WSB Minimum]]-StaffPayroll[[#This Row],[Annual NF Wage Costs before WSB Minimum]])</f>
        <v>0</v>
      </c>
      <c r="Q26" s="31">
        <f>IFERROR(IF(StaffPayroll[[#This Row],[Annual Cost of Wage Increase included in Rate Adjustment]]=0,0,P26*'Facility Info Input'!$F$10),0)</f>
        <v>0</v>
      </c>
      <c r="R26" s="32">
        <f>IFERROR(IF(StaffPayroll[[#This Row],[Annual Cost of Wage Increase included in Rate Adjustment]]=0,0,IF('Facility Info Input'!$F$11&lt;=0,0,P26*'Facility Info Input'!$F$11)),0)</f>
        <v>0</v>
      </c>
      <c r="S26" s="32">
        <f>IFERROR(IF(StaffPayroll[[#This Row],[Annual Cost of Wage Increase included in Rate Adjustment]]=0,0,IF('Facility Info Input'!$F$12&lt;=0,0,P26*'Facility Info Input'!$F$12)),0)</f>
        <v>0</v>
      </c>
      <c r="T26" s="32">
        <f t="shared" si="0"/>
        <v>0</v>
      </c>
      <c r="U26" s="33">
        <f t="shared" si="1"/>
        <v>0</v>
      </c>
    </row>
    <row r="27" spans="1:21">
      <c r="A27" s="76"/>
      <c r="B27" s="77"/>
      <c r="C27" s="81"/>
      <c r="D27" s="82"/>
      <c r="E27" s="82"/>
      <c r="F27" s="83"/>
      <c r="G27" s="84"/>
      <c r="H27" s="85"/>
      <c r="I27" s="71" t="e">
        <f>#REF!&amp;" "&amp;StaffPayroll[[#This Row],[Employee ID Number / Code]]</f>
        <v>#REF!</v>
      </c>
      <c r="J27" s="71" t="str">
        <f>_xlfn.IFNA(VLOOKUP(StaffPayroll[[#This Row],[Position / Title]],Lists!A:C,3,FALSE),"")</f>
        <v/>
      </c>
      <c r="K27" s="71">
        <f>StaffPayroll[[#This Row],[Payroll Period Ends Date (Minimum two months)]]-StaffPayroll[[#This Row],[Payroll Period Begins Date        (Must start after 6/1/2025)]]+1</f>
        <v>1</v>
      </c>
      <c r="L27" s="38">
        <f>IFERROR(IF(VLOOKUP(J27,'Facility Info Input'!$B$25:$D$34,3,FALSE)="",1,VLOOKUP(J27,'Facility Info Input'!$B$25:$D$34,3,FALSE)),0)</f>
        <v>0</v>
      </c>
      <c r="M27" s="22" t="str">
        <f>IF(StaffPayroll[[#This Row],[Employee ID Number / Code]]="","",IF(StaffPayroll[[#This Row],[Position / Title]]="","",VLOOKUP(StaffPayroll[[#This Row],[Position / Title]],Lists!A:C,2,FALSE)))</f>
        <v/>
      </c>
      <c r="N27" s="22">
        <f>IF(C27="",0,StaffPayroll[[#This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" s="31">
        <f>IF(StaffPayroll[[#This Row],[Hourly WSB  Wage Minimum]]="",0,StaffPayroll[[#This Row],[Annual NF Wage Costs after WSB Minimum]]-StaffPayroll[[#This Row],[Annual NF Wage Costs before WSB Minimum]])</f>
        <v>0</v>
      </c>
      <c r="Q27" s="31">
        <f>IFERROR(IF(StaffPayroll[[#This Row],[Annual Cost of Wage Increase included in Rate Adjustment]]=0,0,P27*'Facility Info Input'!$F$10),0)</f>
        <v>0</v>
      </c>
      <c r="R27" s="32">
        <f>IFERROR(IF(StaffPayroll[[#This Row],[Annual Cost of Wage Increase included in Rate Adjustment]]=0,0,IF('Facility Info Input'!$F$11&lt;=0,0,P27*'Facility Info Input'!$F$11)),0)</f>
        <v>0</v>
      </c>
      <c r="S27" s="32">
        <f>IFERROR(IF(StaffPayroll[[#This Row],[Annual Cost of Wage Increase included in Rate Adjustment]]=0,0,IF('Facility Info Input'!$F$12&lt;=0,0,P27*'Facility Info Input'!$F$12)),0)</f>
        <v>0</v>
      </c>
      <c r="T27" s="32">
        <f t="shared" si="0"/>
        <v>0</v>
      </c>
      <c r="U27" s="33">
        <f t="shared" si="1"/>
        <v>0</v>
      </c>
    </row>
    <row r="28" spans="1:21">
      <c r="A28" s="76"/>
      <c r="B28" s="77"/>
      <c r="C28" s="81"/>
      <c r="D28" s="82"/>
      <c r="E28" s="82"/>
      <c r="F28" s="83"/>
      <c r="G28" s="84"/>
      <c r="H28" s="85"/>
      <c r="I28" s="71" t="e">
        <f>#REF!&amp;" "&amp;StaffPayroll[[#This Row],[Employee ID Number / Code]]</f>
        <v>#REF!</v>
      </c>
      <c r="J28" s="71" t="str">
        <f>_xlfn.IFNA(VLOOKUP(StaffPayroll[[#This Row],[Position / Title]],Lists!A:C,3,FALSE),"")</f>
        <v/>
      </c>
      <c r="K28" s="71">
        <f>StaffPayroll[[#This Row],[Payroll Period Ends Date (Minimum two months)]]-StaffPayroll[[#This Row],[Payroll Period Begins Date        (Must start after 6/1/2025)]]+1</f>
        <v>1</v>
      </c>
      <c r="L28" s="38">
        <f>IFERROR(IF(VLOOKUP(J28,'Facility Info Input'!$B$25:$D$34,3,FALSE)="",1,VLOOKUP(J28,'Facility Info Input'!$B$25:$D$34,3,FALSE)),0)</f>
        <v>0</v>
      </c>
      <c r="M28" s="22" t="str">
        <f>IF(StaffPayroll[[#This Row],[Employee ID Number / Code]]="","",IF(StaffPayroll[[#This Row],[Position / Title]]="","",VLOOKUP(StaffPayroll[[#This Row],[Position / Title]],Lists!A:C,2,FALSE)))</f>
        <v/>
      </c>
      <c r="N28" s="22">
        <f>IF(C28="",0,StaffPayroll[[#This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" s="31">
        <f>IF(StaffPayroll[[#This Row],[Hourly WSB  Wage Minimum]]="",0,StaffPayroll[[#This Row],[Annual NF Wage Costs after WSB Minimum]]-StaffPayroll[[#This Row],[Annual NF Wage Costs before WSB Minimum]])</f>
        <v>0</v>
      </c>
      <c r="Q28" s="31">
        <f>IFERROR(IF(StaffPayroll[[#This Row],[Annual Cost of Wage Increase included in Rate Adjustment]]=0,0,P28*'Facility Info Input'!$F$10),0)</f>
        <v>0</v>
      </c>
      <c r="R28" s="32">
        <f>IFERROR(IF(StaffPayroll[[#This Row],[Annual Cost of Wage Increase included in Rate Adjustment]]=0,0,IF('Facility Info Input'!$F$11&lt;=0,0,P28*'Facility Info Input'!$F$11)),0)</f>
        <v>0</v>
      </c>
      <c r="S28" s="32">
        <f>IFERROR(IF(StaffPayroll[[#This Row],[Annual Cost of Wage Increase included in Rate Adjustment]]=0,0,IF('Facility Info Input'!$F$12&lt;=0,0,P28*'Facility Info Input'!$F$12)),0)</f>
        <v>0</v>
      </c>
      <c r="T28" s="32">
        <f t="shared" si="0"/>
        <v>0</v>
      </c>
      <c r="U28" s="33">
        <f t="shared" si="1"/>
        <v>0</v>
      </c>
    </row>
    <row r="29" spans="1:21">
      <c r="A29" s="76"/>
      <c r="B29" s="77"/>
      <c r="C29" s="81"/>
      <c r="D29" s="82"/>
      <c r="E29" s="82"/>
      <c r="F29" s="83"/>
      <c r="G29" s="84"/>
      <c r="H29" s="85"/>
      <c r="I29" s="71" t="e">
        <f>#REF!&amp;" "&amp;StaffPayroll[[#This Row],[Employee ID Number / Code]]</f>
        <v>#REF!</v>
      </c>
      <c r="J29" s="71" t="str">
        <f>_xlfn.IFNA(VLOOKUP(StaffPayroll[[#This Row],[Position / Title]],Lists!A:C,3,FALSE),"")</f>
        <v/>
      </c>
      <c r="K29" s="71">
        <f>StaffPayroll[[#This Row],[Payroll Period Ends Date (Minimum two months)]]-StaffPayroll[[#This Row],[Payroll Period Begins Date        (Must start after 6/1/2025)]]+1</f>
        <v>1</v>
      </c>
      <c r="L29" s="38">
        <f>IFERROR(IF(VLOOKUP(J29,'Facility Info Input'!$B$25:$D$34,3,FALSE)="",1,VLOOKUP(J29,'Facility Info Input'!$B$25:$D$34,3,FALSE)),0)</f>
        <v>0</v>
      </c>
      <c r="M29" s="22" t="str">
        <f>IF(StaffPayroll[[#This Row],[Employee ID Number / Code]]="","",IF(StaffPayroll[[#This Row],[Position / Title]]="","",VLOOKUP(StaffPayroll[[#This Row],[Position / Title]],Lists!A:C,2,FALSE)))</f>
        <v/>
      </c>
      <c r="N29" s="22">
        <f>IF(C29="",0,StaffPayroll[[#This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" s="31">
        <f>IF(StaffPayroll[[#This Row],[Hourly WSB  Wage Minimum]]="",0,StaffPayroll[[#This Row],[Annual NF Wage Costs after WSB Minimum]]-StaffPayroll[[#This Row],[Annual NF Wage Costs before WSB Minimum]])</f>
        <v>0</v>
      </c>
      <c r="Q29" s="31">
        <f>IFERROR(IF(StaffPayroll[[#This Row],[Annual Cost of Wage Increase included in Rate Adjustment]]=0,0,P29*'Facility Info Input'!$F$10),0)</f>
        <v>0</v>
      </c>
      <c r="R29" s="32">
        <f>IFERROR(IF(StaffPayroll[[#This Row],[Annual Cost of Wage Increase included in Rate Adjustment]]=0,0,IF('Facility Info Input'!$F$11&lt;=0,0,P29*'Facility Info Input'!$F$11)),0)</f>
        <v>0</v>
      </c>
      <c r="S29" s="32">
        <f>IFERROR(IF(StaffPayroll[[#This Row],[Annual Cost of Wage Increase included in Rate Adjustment]]=0,0,IF('Facility Info Input'!$F$12&lt;=0,0,P29*'Facility Info Input'!$F$12)),0)</f>
        <v>0</v>
      </c>
      <c r="T29" s="32">
        <f t="shared" si="0"/>
        <v>0</v>
      </c>
      <c r="U29" s="33">
        <f t="shared" si="1"/>
        <v>0</v>
      </c>
    </row>
    <row r="30" spans="1:21">
      <c r="A30" s="76"/>
      <c r="B30" s="77"/>
      <c r="C30" s="81"/>
      <c r="D30" s="82"/>
      <c r="E30" s="82"/>
      <c r="F30" s="83"/>
      <c r="G30" s="84"/>
      <c r="H30" s="85"/>
      <c r="I30" s="71" t="e">
        <f>#REF!&amp;" "&amp;StaffPayroll[[#This Row],[Employee ID Number / Code]]</f>
        <v>#REF!</v>
      </c>
      <c r="J30" s="71" t="str">
        <f>_xlfn.IFNA(VLOOKUP(StaffPayroll[[#This Row],[Position / Title]],Lists!A:C,3,FALSE),"")</f>
        <v/>
      </c>
      <c r="K30" s="71">
        <f>StaffPayroll[[#This Row],[Payroll Period Ends Date (Minimum two months)]]-StaffPayroll[[#This Row],[Payroll Period Begins Date        (Must start after 6/1/2025)]]+1</f>
        <v>1</v>
      </c>
      <c r="L30" s="38">
        <f>IFERROR(IF(VLOOKUP(J30,'Facility Info Input'!$B$25:$D$34,3,FALSE)="",1,VLOOKUP(J30,'Facility Info Input'!$B$25:$D$34,3,FALSE)),0)</f>
        <v>0</v>
      </c>
      <c r="M30" s="22" t="str">
        <f>IF(StaffPayroll[[#This Row],[Employee ID Number / Code]]="","",IF(StaffPayroll[[#This Row],[Position / Title]]="","",VLOOKUP(StaffPayroll[[#This Row],[Position / Title]],Lists!A:C,2,FALSE)))</f>
        <v/>
      </c>
      <c r="N30" s="22">
        <f>IF(C30="",0,StaffPayroll[[#This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" s="31">
        <f>IF(StaffPayroll[[#This Row],[Hourly WSB  Wage Minimum]]="",0,StaffPayroll[[#This Row],[Annual NF Wage Costs after WSB Minimum]]-StaffPayroll[[#This Row],[Annual NF Wage Costs before WSB Minimum]])</f>
        <v>0</v>
      </c>
      <c r="Q30" s="31">
        <f>IFERROR(IF(StaffPayroll[[#This Row],[Annual Cost of Wage Increase included in Rate Adjustment]]=0,0,P30*'Facility Info Input'!$F$10),0)</f>
        <v>0</v>
      </c>
      <c r="R30" s="32">
        <f>IFERROR(IF(StaffPayroll[[#This Row],[Annual Cost of Wage Increase included in Rate Adjustment]]=0,0,IF('Facility Info Input'!$F$11&lt;=0,0,P30*'Facility Info Input'!$F$11)),0)</f>
        <v>0</v>
      </c>
      <c r="S30" s="32">
        <f>IFERROR(IF(StaffPayroll[[#This Row],[Annual Cost of Wage Increase included in Rate Adjustment]]=0,0,IF('Facility Info Input'!$F$12&lt;=0,0,P30*'Facility Info Input'!$F$12)),0)</f>
        <v>0</v>
      </c>
      <c r="T30" s="32">
        <f t="shared" si="0"/>
        <v>0</v>
      </c>
      <c r="U30" s="33">
        <f t="shared" si="1"/>
        <v>0</v>
      </c>
    </row>
    <row r="31" spans="1:21">
      <c r="A31" s="76"/>
      <c r="B31" s="77"/>
      <c r="C31" s="81"/>
      <c r="D31" s="82"/>
      <c r="E31" s="82"/>
      <c r="F31" s="83"/>
      <c r="G31" s="84"/>
      <c r="H31" s="85"/>
      <c r="I31" s="71" t="e">
        <f>#REF!&amp;" "&amp;StaffPayroll[[#This Row],[Employee ID Number / Code]]</f>
        <v>#REF!</v>
      </c>
      <c r="J31" s="71" t="str">
        <f>_xlfn.IFNA(VLOOKUP(StaffPayroll[[#This Row],[Position / Title]],Lists!A:C,3,FALSE),"")</f>
        <v/>
      </c>
      <c r="K31" s="71">
        <f>StaffPayroll[[#This Row],[Payroll Period Ends Date (Minimum two months)]]-StaffPayroll[[#This Row],[Payroll Period Begins Date        (Must start after 6/1/2025)]]+1</f>
        <v>1</v>
      </c>
      <c r="L31" s="38">
        <f>IFERROR(IF(VLOOKUP(J31,'Facility Info Input'!$B$25:$D$34,3,FALSE)="",1,VLOOKUP(J31,'Facility Info Input'!$B$25:$D$34,3,FALSE)),0)</f>
        <v>0</v>
      </c>
      <c r="M31" s="22" t="str">
        <f>IF(StaffPayroll[[#This Row],[Employee ID Number / Code]]="","",IF(StaffPayroll[[#This Row],[Position / Title]]="","",VLOOKUP(StaffPayroll[[#This Row],[Position / Title]],Lists!A:C,2,FALSE)))</f>
        <v/>
      </c>
      <c r="N31" s="22">
        <f>IF(C31="",0,StaffPayroll[[#This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" s="31">
        <f>IF(StaffPayroll[[#This Row],[Hourly WSB  Wage Minimum]]="",0,StaffPayroll[[#This Row],[Annual NF Wage Costs after WSB Minimum]]-StaffPayroll[[#This Row],[Annual NF Wage Costs before WSB Minimum]])</f>
        <v>0</v>
      </c>
      <c r="Q31" s="31">
        <f>IFERROR(IF(StaffPayroll[[#This Row],[Annual Cost of Wage Increase included in Rate Adjustment]]=0,0,P31*'Facility Info Input'!$F$10),0)</f>
        <v>0</v>
      </c>
      <c r="R31" s="32">
        <f>IFERROR(IF(StaffPayroll[[#This Row],[Annual Cost of Wage Increase included in Rate Adjustment]]=0,0,IF('Facility Info Input'!$F$11&lt;=0,0,P31*'Facility Info Input'!$F$11)),0)</f>
        <v>0</v>
      </c>
      <c r="S31" s="32">
        <f>IFERROR(IF(StaffPayroll[[#This Row],[Annual Cost of Wage Increase included in Rate Adjustment]]=0,0,IF('Facility Info Input'!$F$12&lt;=0,0,P31*'Facility Info Input'!$F$12)),0)</f>
        <v>0</v>
      </c>
      <c r="T31" s="32">
        <f t="shared" si="0"/>
        <v>0</v>
      </c>
      <c r="U31" s="33">
        <f t="shared" si="1"/>
        <v>0</v>
      </c>
    </row>
    <row r="32" spans="1:21">
      <c r="A32" s="76"/>
      <c r="B32" s="77"/>
      <c r="C32" s="81"/>
      <c r="D32" s="82"/>
      <c r="E32" s="82"/>
      <c r="F32" s="83"/>
      <c r="G32" s="84"/>
      <c r="H32" s="85"/>
      <c r="I32" s="71" t="e">
        <f>#REF!&amp;" "&amp;StaffPayroll[[#This Row],[Employee ID Number / Code]]</f>
        <v>#REF!</v>
      </c>
      <c r="J32" s="71" t="str">
        <f>_xlfn.IFNA(VLOOKUP(StaffPayroll[[#This Row],[Position / Title]],Lists!A:C,3,FALSE),"")</f>
        <v/>
      </c>
      <c r="K32" s="71">
        <f>StaffPayroll[[#This Row],[Payroll Period Ends Date (Minimum two months)]]-StaffPayroll[[#This Row],[Payroll Period Begins Date        (Must start after 6/1/2025)]]+1</f>
        <v>1</v>
      </c>
      <c r="L32" s="38">
        <f>IFERROR(IF(VLOOKUP(J32,'Facility Info Input'!$B$25:$D$34,3,FALSE)="",1,VLOOKUP(J32,'Facility Info Input'!$B$25:$D$34,3,FALSE)),0)</f>
        <v>0</v>
      </c>
      <c r="M32" s="22" t="str">
        <f>IF(StaffPayroll[[#This Row],[Employee ID Number / Code]]="","",IF(StaffPayroll[[#This Row],[Position / Title]]="","",VLOOKUP(StaffPayroll[[#This Row],[Position / Title]],Lists!A:C,2,FALSE)))</f>
        <v/>
      </c>
      <c r="N32" s="22">
        <f>IF(C32="",0,StaffPayroll[[#This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" s="31">
        <f>IF(StaffPayroll[[#This Row],[Hourly WSB  Wage Minimum]]="",0,StaffPayroll[[#This Row],[Annual NF Wage Costs after WSB Minimum]]-StaffPayroll[[#This Row],[Annual NF Wage Costs before WSB Minimum]])</f>
        <v>0</v>
      </c>
      <c r="Q32" s="31">
        <f>IFERROR(IF(StaffPayroll[[#This Row],[Annual Cost of Wage Increase included in Rate Adjustment]]=0,0,P32*'Facility Info Input'!$F$10),0)</f>
        <v>0</v>
      </c>
      <c r="R32" s="32">
        <f>IFERROR(IF(StaffPayroll[[#This Row],[Annual Cost of Wage Increase included in Rate Adjustment]]=0,0,IF('Facility Info Input'!$F$11&lt;=0,0,P32*'Facility Info Input'!$F$11)),0)</f>
        <v>0</v>
      </c>
      <c r="S32" s="32">
        <f>IFERROR(IF(StaffPayroll[[#This Row],[Annual Cost of Wage Increase included in Rate Adjustment]]=0,0,IF('Facility Info Input'!$F$12&lt;=0,0,P32*'Facility Info Input'!$F$12)),0)</f>
        <v>0</v>
      </c>
      <c r="T32" s="32">
        <f t="shared" si="0"/>
        <v>0</v>
      </c>
      <c r="U32" s="33">
        <f t="shared" si="1"/>
        <v>0</v>
      </c>
    </row>
    <row r="33" spans="1:21">
      <c r="A33" s="76"/>
      <c r="B33" s="77"/>
      <c r="C33" s="81"/>
      <c r="D33" s="82"/>
      <c r="E33" s="82"/>
      <c r="F33" s="83"/>
      <c r="G33" s="84"/>
      <c r="H33" s="85"/>
      <c r="I33" s="71" t="e">
        <f>#REF!&amp;" "&amp;StaffPayroll[[#This Row],[Employee ID Number / Code]]</f>
        <v>#REF!</v>
      </c>
      <c r="J33" s="71" t="str">
        <f>_xlfn.IFNA(VLOOKUP(StaffPayroll[[#This Row],[Position / Title]],Lists!A:C,3,FALSE),"")</f>
        <v/>
      </c>
      <c r="K33" s="71">
        <f>StaffPayroll[[#This Row],[Payroll Period Ends Date (Minimum two months)]]-StaffPayroll[[#This Row],[Payroll Period Begins Date        (Must start after 6/1/2025)]]+1</f>
        <v>1</v>
      </c>
      <c r="L33" s="38">
        <f>IFERROR(IF(VLOOKUP(J33,'Facility Info Input'!$B$25:$D$34,3,FALSE)="",1,VLOOKUP(J33,'Facility Info Input'!$B$25:$D$34,3,FALSE)),0)</f>
        <v>0</v>
      </c>
      <c r="M33" s="22" t="str">
        <f>IF(StaffPayroll[[#This Row],[Employee ID Number / Code]]="","",IF(StaffPayroll[[#This Row],[Position / Title]]="","",VLOOKUP(StaffPayroll[[#This Row],[Position / Title]],Lists!A:C,2,FALSE)))</f>
        <v/>
      </c>
      <c r="N33" s="22">
        <f>IF(C33="",0,StaffPayroll[[#This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" s="31">
        <f>IF(StaffPayroll[[#This Row],[Hourly WSB  Wage Minimum]]="",0,StaffPayroll[[#This Row],[Annual NF Wage Costs after WSB Minimum]]-StaffPayroll[[#This Row],[Annual NF Wage Costs before WSB Minimum]])</f>
        <v>0</v>
      </c>
      <c r="Q33" s="31">
        <f>IFERROR(IF(StaffPayroll[[#This Row],[Annual Cost of Wage Increase included in Rate Adjustment]]=0,0,P33*'Facility Info Input'!$F$10),0)</f>
        <v>0</v>
      </c>
      <c r="R33" s="32">
        <f>IFERROR(IF(StaffPayroll[[#This Row],[Annual Cost of Wage Increase included in Rate Adjustment]]=0,0,IF('Facility Info Input'!$F$11&lt;=0,0,P33*'Facility Info Input'!$F$11)),0)</f>
        <v>0</v>
      </c>
      <c r="S33" s="32">
        <f>IFERROR(IF(StaffPayroll[[#This Row],[Annual Cost of Wage Increase included in Rate Adjustment]]=0,0,IF('Facility Info Input'!$F$12&lt;=0,0,P33*'Facility Info Input'!$F$12)),0)</f>
        <v>0</v>
      </c>
      <c r="T33" s="32">
        <f t="shared" si="0"/>
        <v>0</v>
      </c>
      <c r="U33" s="33">
        <f t="shared" si="1"/>
        <v>0</v>
      </c>
    </row>
    <row r="34" spans="1:21">
      <c r="A34" s="76"/>
      <c r="B34" s="77"/>
      <c r="C34" s="81"/>
      <c r="D34" s="82"/>
      <c r="E34" s="82"/>
      <c r="F34" s="83"/>
      <c r="G34" s="84"/>
      <c r="H34" s="85"/>
      <c r="I34" s="71" t="e">
        <f>#REF!&amp;" "&amp;StaffPayroll[[#This Row],[Employee ID Number / Code]]</f>
        <v>#REF!</v>
      </c>
      <c r="J34" s="71" t="str">
        <f>_xlfn.IFNA(VLOOKUP(StaffPayroll[[#This Row],[Position / Title]],Lists!A:C,3,FALSE),"")</f>
        <v/>
      </c>
      <c r="K34" s="71">
        <f>StaffPayroll[[#This Row],[Payroll Period Ends Date (Minimum two months)]]-StaffPayroll[[#This Row],[Payroll Period Begins Date        (Must start after 6/1/2025)]]+1</f>
        <v>1</v>
      </c>
      <c r="L34" s="38">
        <f>IFERROR(IF(VLOOKUP(J34,'Facility Info Input'!$B$25:$D$34,3,FALSE)="",1,VLOOKUP(J34,'Facility Info Input'!$B$25:$D$34,3,FALSE)),0)</f>
        <v>0</v>
      </c>
      <c r="M34" s="22" t="str">
        <f>IF(StaffPayroll[[#This Row],[Employee ID Number / Code]]="","",IF(StaffPayroll[[#This Row],[Position / Title]]="","",VLOOKUP(StaffPayroll[[#This Row],[Position / Title]],Lists!A:C,2,FALSE)))</f>
        <v/>
      </c>
      <c r="N34" s="22">
        <f>IF(C34="",0,StaffPayroll[[#This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" s="31">
        <f>IF(StaffPayroll[[#This Row],[Hourly WSB  Wage Minimum]]="",0,StaffPayroll[[#This Row],[Annual NF Wage Costs after WSB Minimum]]-StaffPayroll[[#This Row],[Annual NF Wage Costs before WSB Minimum]])</f>
        <v>0</v>
      </c>
      <c r="Q34" s="31">
        <f>IFERROR(IF(StaffPayroll[[#This Row],[Annual Cost of Wage Increase included in Rate Adjustment]]=0,0,P34*'Facility Info Input'!$F$10),0)</f>
        <v>0</v>
      </c>
      <c r="R34" s="32">
        <f>IFERROR(IF(StaffPayroll[[#This Row],[Annual Cost of Wage Increase included in Rate Adjustment]]=0,0,IF('Facility Info Input'!$F$11&lt;=0,0,P34*'Facility Info Input'!$F$11)),0)</f>
        <v>0</v>
      </c>
      <c r="S34" s="32">
        <f>IFERROR(IF(StaffPayroll[[#This Row],[Annual Cost of Wage Increase included in Rate Adjustment]]=0,0,IF('Facility Info Input'!$F$12&lt;=0,0,P34*'Facility Info Input'!$F$12)),0)</f>
        <v>0</v>
      </c>
      <c r="T34" s="32">
        <f t="shared" si="0"/>
        <v>0</v>
      </c>
      <c r="U34" s="33">
        <f t="shared" si="1"/>
        <v>0</v>
      </c>
    </row>
    <row r="35" spans="1:21">
      <c r="A35" s="76"/>
      <c r="B35" s="77"/>
      <c r="C35" s="81"/>
      <c r="D35" s="82"/>
      <c r="E35" s="82"/>
      <c r="F35" s="83"/>
      <c r="G35" s="84"/>
      <c r="H35" s="85"/>
      <c r="I35" s="71" t="e">
        <f>#REF!&amp;" "&amp;StaffPayroll[[#This Row],[Employee ID Number / Code]]</f>
        <v>#REF!</v>
      </c>
      <c r="J35" s="71" t="str">
        <f>_xlfn.IFNA(VLOOKUP(StaffPayroll[[#This Row],[Position / Title]],Lists!A:C,3,FALSE),"")</f>
        <v/>
      </c>
      <c r="K35" s="71">
        <f>StaffPayroll[[#This Row],[Payroll Period Ends Date (Minimum two months)]]-StaffPayroll[[#This Row],[Payroll Period Begins Date        (Must start after 6/1/2025)]]+1</f>
        <v>1</v>
      </c>
      <c r="L35" s="38">
        <f>IFERROR(IF(VLOOKUP(J35,'Facility Info Input'!$B$25:$D$34,3,FALSE)="",1,VLOOKUP(J35,'Facility Info Input'!$B$25:$D$34,3,FALSE)),0)</f>
        <v>0</v>
      </c>
      <c r="M35" s="22" t="str">
        <f>IF(StaffPayroll[[#This Row],[Employee ID Number / Code]]="","",IF(StaffPayroll[[#This Row],[Position / Title]]="","",VLOOKUP(StaffPayroll[[#This Row],[Position / Title]],Lists!A:C,2,FALSE)))</f>
        <v/>
      </c>
      <c r="N35" s="22">
        <f>IF(C35="",0,StaffPayroll[[#This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" s="31">
        <f>IF(StaffPayroll[[#This Row],[Hourly WSB  Wage Minimum]]="",0,StaffPayroll[[#This Row],[Annual NF Wage Costs after WSB Minimum]]-StaffPayroll[[#This Row],[Annual NF Wage Costs before WSB Minimum]])</f>
        <v>0</v>
      </c>
      <c r="Q35" s="31">
        <f>IFERROR(IF(StaffPayroll[[#This Row],[Annual Cost of Wage Increase included in Rate Adjustment]]=0,0,P35*'Facility Info Input'!$F$10),0)</f>
        <v>0</v>
      </c>
      <c r="R35" s="32">
        <f>IFERROR(IF(StaffPayroll[[#This Row],[Annual Cost of Wage Increase included in Rate Adjustment]]=0,0,IF('Facility Info Input'!$F$11&lt;=0,0,P35*'Facility Info Input'!$F$11)),0)</f>
        <v>0</v>
      </c>
      <c r="S35" s="32">
        <f>IFERROR(IF(StaffPayroll[[#This Row],[Annual Cost of Wage Increase included in Rate Adjustment]]=0,0,IF('Facility Info Input'!$F$12&lt;=0,0,P35*'Facility Info Input'!$F$12)),0)</f>
        <v>0</v>
      </c>
      <c r="T35" s="32">
        <f t="shared" si="0"/>
        <v>0</v>
      </c>
      <c r="U35" s="33">
        <f t="shared" si="1"/>
        <v>0</v>
      </c>
    </row>
    <row r="36" spans="1:21">
      <c r="A36" s="76"/>
      <c r="B36" s="77"/>
      <c r="C36" s="81"/>
      <c r="D36" s="82"/>
      <c r="E36" s="82"/>
      <c r="F36" s="83"/>
      <c r="G36" s="84"/>
      <c r="H36" s="85"/>
      <c r="I36" s="71" t="e">
        <f>#REF!&amp;" "&amp;StaffPayroll[[#This Row],[Employee ID Number / Code]]</f>
        <v>#REF!</v>
      </c>
      <c r="J36" s="71" t="str">
        <f>_xlfn.IFNA(VLOOKUP(StaffPayroll[[#This Row],[Position / Title]],Lists!A:C,3,FALSE),"")</f>
        <v/>
      </c>
      <c r="K36" s="71">
        <f>StaffPayroll[[#This Row],[Payroll Period Ends Date (Minimum two months)]]-StaffPayroll[[#This Row],[Payroll Period Begins Date        (Must start after 6/1/2025)]]+1</f>
        <v>1</v>
      </c>
      <c r="L36" s="38">
        <f>IFERROR(IF(VLOOKUP(J36,'Facility Info Input'!$B$25:$D$34,3,FALSE)="",1,VLOOKUP(J36,'Facility Info Input'!$B$25:$D$34,3,FALSE)),0)</f>
        <v>0</v>
      </c>
      <c r="M36" s="22" t="str">
        <f>IF(StaffPayroll[[#This Row],[Employee ID Number / Code]]="","",IF(StaffPayroll[[#This Row],[Position / Title]]="","",VLOOKUP(StaffPayroll[[#This Row],[Position / Title]],Lists!A:C,2,FALSE)))</f>
        <v/>
      </c>
      <c r="N36" s="22">
        <f>IF(C36="",0,StaffPayroll[[#This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" s="31">
        <f>IF(StaffPayroll[[#This Row],[Hourly WSB  Wage Minimum]]="",0,StaffPayroll[[#This Row],[Annual NF Wage Costs after WSB Minimum]]-StaffPayroll[[#This Row],[Annual NF Wage Costs before WSB Minimum]])</f>
        <v>0</v>
      </c>
      <c r="Q36" s="31">
        <f>IFERROR(IF(StaffPayroll[[#This Row],[Annual Cost of Wage Increase included in Rate Adjustment]]=0,0,P36*'Facility Info Input'!$F$10),0)</f>
        <v>0</v>
      </c>
      <c r="R36" s="32">
        <f>IFERROR(IF(StaffPayroll[[#This Row],[Annual Cost of Wage Increase included in Rate Adjustment]]=0,0,IF('Facility Info Input'!$F$11&lt;=0,0,P36*'Facility Info Input'!$F$11)),0)</f>
        <v>0</v>
      </c>
      <c r="S36" s="32">
        <f>IFERROR(IF(StaffPayroll[[#This Row],[Annual Cost of Wage Increase included in Rate Adjustment]]=0,0,IF('Facility Info Input'!$F$12&lt;=0,0,P36*'Facility Info Input'!$F$12)),0)</f>
        <v>0</v>
      </c>
      <c r="T36" s="32">
        <f t="shared" si="0"/>
        <v>0</v>
      </c>
      <c r="U36" s="33">
        <f t="shared" si="1"/>
        <v>0</v>
      </c>
    </row>
    <row r="37" spans="1:21">
      <c r="A37" s="76"/>
      <c r="B37" s="77"/>
      <c r="C37" s="81"/>
      <c r="D37" s="82"/>
      <c r="E37" s="82"/>
      <c r="F37" s="83"/>
      <c r="G37" s="84"/>
      <c r="H37" s="85"/>
      <c r="I37" s="71" t="e">
        <f>#REF!&amp;" "&amp;StaffPayroll[[#This Row],[Employee ID Number / Code]]</f>
        <v>#REF!</v>
      </c>
      <c r="J37" s="71" t="str">
        <f>_xlfn.IFNA(VLOOKUP(StaffPayroll[[#This Row],[Position / Title]],Lists!A:C,3,FALSE),"")</f>
        <v/>
      </c>
      <c r="K37" s="71">
        <f>StaffPayroll[[#This Row],[Payroll Period Ends Date (Minimum two months)]]-StaffPayroll[[#This Row],[Payroll Period Begins Date        (Must start after 6/1/2025)]]+1</f>
        <v>1</v>
      </c>
      <c r="L37" s="38">
        <f>IFERROR(IF(VLOOKUP(J37,'Facility Info Input'!$B$25:$D$34,3,FALSE)="",1,VLOOKUP(J37,'Facility Info Input'!$B$25:$D$34,3,FALSE)),0)</f>
        <v>0</v>
      </c>
      <c r="M37" s="22" t="str">
        <f>IF(StaffPayroll[[#This Row],[Employee ID Number / Code]]="","",IF(StaffPayroll[[#This Row],[Position / Title]]="","",VLOOKUP(StaffPayroll[[#This Row],[Position / Title]],Lists!A:C,2,FALSE)))</f>
        <v/>
      </c>
      <c r="N37" s="22">
        <f>IF(C37="",0,StaffPayroll[[#This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" s="31">
        <f>IF(StaffPayroll[[#This Row],[Hourly WSB  Wage Minimum]]="",0,StaffPayroll[[#This Row],[Annual NF Wage Costs after WSB Minimum]]-StaffPayroll[[#This Row],[Annual NF Wage Costs before WSB Minimum]])</f>
        <v>0</v>
      </c>
      <c r="Q37" s="31">
        <f>IFERROR(IF(StaffPayroll[[#This Row],[Annual Cost of Wage Increase included in Rate Adjustment]]=0,0,P37*'Facility Info Input'!$F$10),0)</f>
        <v>0</v>
      </c>
      <c r="R37" s="32">
        <f>IFERROR(IF(StaffPayroll[[#This Row],[Annual Cost of Wage Increase included in Rate Adjustment]]=0,0,IF('Facility Info Input'!$F$11&lt;=0,0,P37*'Facility Info Input'!$F$11)),0)</f>
        <v>0</v>
      </c>
      <c r="S37" s="32">
        <f>IFERROR(IF(StaffPayroll[[#This Row],[Annual Cost of Wage Increase included in Rate Adjustment]]=0,0,IF('Facility Info Input'!$F$12&lt;=0,0,P37*'Facility Info Input'!$F$12)),0)</f>
        <v>0</v>
      </c>
      <c r="T37" s="32">
        <f t="shared" si="0"/>
        <v>0</v>
      </c>
      <c r="U37" s="33">
        <f t="shared" si="1"/>
        <v>0</v>
      </c>
    </row>
    <row r="38" spans="1:21">
      <c r="A38" s="76"/>
      <c r="B38" s="77"/>
      <c r="C38" s="81"/>
      <c r="D38" s="82"/>
      <c r="E38" s="82"/>
      <c r="F38" s="83"/>
      <c r="G38" s="84"/>
      <c r="H38" s="85"/>
      <c r="I38" s="71" t="e">
        <f>#REF!&amp;" "&amp;StaffPayroll[[#This Row],[Employee ID Number / Code]]</f>
        <v>#REF!</v>
      </c>
      <c r="J38" s="71" t="str">
        <f>_xlfn.IFNA(VLOOKUP(StaffPayroll[[#This Row],[Position / Title]],Lists!A:C,3,FALSE),"")</f>
        <v/>
      </c>
      <c r="K38" s="71">
        <f>StaffPayroll[[#This Row],[Payroll Period Ends Date (Minimum two months)]]-StaffPayroll[[#This Row],[Payroll Period Begins Date        (Must start after 6/1/2025)]]+1</f>
        <v>1</v>
      </c>
      <c r="L38" s="38">
        <f>IFERROR(IF(VLOOKUP(J38,'Facility Info Input'!$B$25:$D$34,3,FALSE)="",1,VLOOKUP(J38,'Facility Info Input'!$B$25:$D$34,3,FALSE)),0)</f>
        <v>0</v>
      </c>
      <c r="M38" s="22" t="str">
        <f>IF(StaffPayroll[[#This Row],[Employee ID Number / Code]]="","",IF(StaffPayroll[[#This Row],[Position / Title]]="","",VLOOKUP(StaffPayroll[[#This Row],[Position / Title]],Lists!A:C,2,FALSE)))</f>
        <v/>
      </c>
      <c r="N38" s="22">
        <f>IF(C38="",0,StaffPayroll[[#This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" s="31">
        <f>IF(StaffPayroll[[#This Row],[Hourly WSB  Wage Minimum]]="",0,StaffPayroll[[#This Row],[Annual NF Wage Costs after WSB Minimum]]-StaffPayroll[[#This Row],[Annual NF Wage Costs before WSB Minimum]])</f>
        <v>0</v>
      </c>
      <c r="Q38" s="31">
        <f>IFERROR(IF(StaffPayroll[[#This Row],[Annual Cost of Wage Increase included in Rate Adjustment]]=0,0,P38*'Facility Info Input'!$F$10),0)</f>
        <v>0</v>
      </c>
      <c r="R38" s="32">
        <f>IFERROR(IF(StaffPayroll[[#This Row],[Annual Cost of Wage Increase included in Rate Adjustment]]=0,0,IF('Facility Info Input'!$F$11&lt;=0,0,P38*'Facility Info Input'!$F$11)),0)</f>
        <v>0</v>
      </c>
      <c r="S38" s="32">
        <f>IFERROR(IF(StaffPayroll[[#This Row],[Annual Cost of Wage Increase included in Rate Adjustment]]=0,0,IF('Facility Info Input'!$F$12&lt;=0,0,P38*'Facility Info Input'!$F$12)),0)</f>
        <v>0</v>
      </c>
      <c r="T38" s="32">
        <f t="shared" si="0"/>
        <v>0</v>
      </c>
      <c r="U38" s="33">
        <f t="shared" si="1"/>
        <v>0</v>
      </c>
    </row>
    <row r="39" spans="1:21">
      <c r="A39" s="76"/>
      <c r="B39" s="77"/>
      <c r="C39" s="81"/>
      <c r="D39" s="82"/>
      <c r="E39" s="82"/>
      <c r="F39" s="83"/>
      <c r="G39" s="84"/>
      <c r="H39" s="85"/>
      <c r="I39" s="71" t="e">
        <f>#REF!&amp;" "&amp;StaffPayroll[[#This Row],[Employee ID Number / Code]]</f>
        <v>#REF!</v>
      </c>
      <c r="J39" s="71" t="str">
        <f>_xlfn.IFNA(VLOOKUP(StaffPayroll[[#This Row],[Position / Title]],Lists!A:C,3,FALSE),"")</f>
        <v/>
      </c>
      <c r="K39" s="71">
        <f>StaffPayroll[[#This Row],[Payroll Period Ends Date (Minimum two months)]]-StaffPayroll[[#This Row],[Payroll Period Begins Date        (Must start after 6/1/2025)]]+1</f>
        <v>1</v>
      </c>
      <c r="L39" s="38">
        <f>IFERROR(IF(VLOOKUP(J39,'Facility Info Input'!$B$25:$D$34,3,FALSE)="",1,VLOOKUP(J39,'Facility Info Input'!$B$25:$D$34,3,FALSE)),0)</f>
        <v>0</v>
      </c>
      <c r="M39" s="22" t="str">
        <f>IF(StaffPayroll[[#This Row],[Employee ID Number / Code]]="","",IF(StaffPayroll[[#This Row],[Position / Title]]="","",VLOOKUP(StaffPayroll[[#This Row],[Position / Title]],Lists!A:C,2,FALSE)))</f>
        <v/>
      </c>
      <c r="N39" s="22">
        <f>IF(C39="",0,StaffPayroll[[#This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" s="31">
        <f>IF(StaffPayroll[[#This Row],[Hourly WSB  Wage Minimum]]="",0,StaffPayroll[[#This Row],[Annual NF Wage Costs after WSB Minimum]]-StaffPayroll[[#This Row],[Annual NF Wage Costs before WSB Minimum]])</f>
        <v>0</v>
      </c>
      <c r="Q39" s="31">
        <f>IFERROR(IF(StaffPayroll[[#This Row],[Annual Cost of Wage Increase included in Rate Adjustment]]=0,0,P39*'Facility Info Input'!$F$10),0)</f>
        <v>0</v>
      </c>
      <c r="R39" s="32">
        <f>IFERROR(IF(StaffPayroll[[#This Row],[Annual Cost of Wage Increase included in Rate Adjustment]]=0,0,IF('Facility Info Input'!$F$11&lt;=0,0,P39*'Facility Info Input'!$F$11)),0)</f>
        <v>0</v>
      </c>
      <c r="S39" s="32">
        <f>IFERROR(IF(StaffPayroll[[#This Row],[Annual Cost of Wage Increase included in Rate Adjustment]]=0,0,IF('Facility Info Input'!$F$12&lt;=0,0,P39*'Facility Info Input'!$F$12)),0)</f>
        <v>0</v>
      </c>
      <c r="T39" s="32">
        <f t="shared" si="0"/>
        <v>0</v>
      </c>
      <c r="U39" s="33">
        <f t="shared" si="1"/>
        <v>0</v>
      </c>
    </row>
    <row r="40" spans="1:21">
      <c r="A40" s="76"/>
      <c r="B40" s="77"/>
      <c r="C40" s="81"/>
      <c r="D40" s="82"/>
      <c r="E40" s="82"/>
      <c r="F40" s="83"/>
      <c r="G40" s="84"/>
      <c r="H40" s="85"/>
      <c r="I40" s="71" t="e">
        <f>#REF!&amp;" "&amp;StaffPayroll[[#This Row],[Employee ID Number / Code]]</f>
        <v>#REF!</v>
      </c>
      <c r="J40" s="71" t="str">
        <f>_xlfn.IFNA(VLOOKUP(StaffPayroll[[#This Row],[Position / Title]],Lists!A:C,3,FALSE),"")</f>
        <v/>
      </c>
      <c r="K40" s="71">
        <f>StaffPayroll[[#This Row],[Payroll Period Ends Date (Minimum two months)]]-StaffPayroll[[#This Row],[Payroll Period Begins Date        (Must start after 6/1/2025)]]+1</f>
        <v>1</v>
      </c>
      <c r="L40" s="38">
        <f>IFERROR(IF(VLOOKUP(J40,'Facility Info Input'!$B$25:$D$34,3,FALSE)="",1,VLOOKUP(J40,'Facility Info Input'!$B$25:$D$34,3,FALSE)),0)</f>
        <v>0</v>
      </c>
      <c r="M40" s="22" t="str">
        <f>IF(StaffPayroll[[#This Row],[Employee ID Number / Code]]="","",IF(StaffPayroll[[#This Row],[Position / Title]]="","",VLOOKUP(StaffPayroll[[#This Row],[Position / Title]],Lists!A:C,2,FALSE)))</f>
        <v/>
      </c>
      <c r="N40" s="22">
        <f>IF(C40="",0,StaffPayroll[[#This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0" s="31">
        <f>IF(StaffPayroll[[#This Row],[Hourly WSB  Wage Minimum]]="",0,StaffPayroll[[#This Row],[Annual NF Wage Costs after WSB Minimum]]-StaffPayroll[[#This Row],[Annual NF Wage Costs before WSB Minimum]])</f>
        <v>0</v>
      </c>
      <c r="Q40" s="31">
        <f>IFERROR(IF(StaffPayroll[[#This Row],[Annual Cost of Wage Increase included in Rate Adjustment]]=0,0,P40*'Facility Info Input'!$F$10),0)</f>
        <v>0</v>
      </c>
      <c r="R40" s="32">
        <f>IFERROR(IF(StaffPayroll[[#This Row],[Annual Cost of Wage Increase included in Rate Adjustment]]=0,0,IF('Facility Info Input'!$F$11&lt;=0,0,P40*'Facility Info Input'!$F$11)),0)</f>
        <v>0</v>
      </c>
      <c r="S40" s="32">
        <f>IFERROR(IF(StaffPayroll[[#This Row],[Annual Cost of Wage Increase included in Rate Adjustment]]=0,0,IF('Facility Info Input'!$F$12&lt;=0,0,P40*'Facility Info Input'!$F$12)),0)</f>
        <v>0</v>
      </c>
      <c r="T40" s="32">
        <f t="shared" si="0"/>
        <v>0</v>
      </c>
      <c r="U40" s="33">
        <f t="shared" si="1"/>
        <v>0</v>
      </c>
    </row>
    <row r="41" spans="1:21">
      <c r="A41" s="76"/>
      <c r="B41" s="77"/>
      <c r="C41" s="81"/>
      <c r="D41" s="82"/>
      <c r="E41" s="82"/>
      <c r="F41" s="83"/>
      <c r="G41" s="84"/>
      <c r="H41" s="85"/>
      <c r="I41" s="71" t="e">
        <f>#REF!&amp;" "&amp;StaffPayroll[[#This Row],[Employee ID Number / Code]]</f>
        <v>#REF!</v>
      </c>
      <c r="J41" s="71" t="str">
        <f>_xlfn.IFNA(VLOOKUP(StaffPayroll[[#This Row],[Position / Title]],Lists!A:C,3,FALSE),"")</f>
        <v/>
      </c>
      <c r="K41" s="71">
        <f>StaffPayroll[[#This Row],[Payroll Period Ends Date (Minimum two months)]]-StaffPayroll[[#This Row],[Payroll Period Begins Date        (Must start after 6/1/2025)]]+1</f>
        <v>1</v>
      </c>
      <c r="L41" s="38">
        <f>IFERROR(IF(VLOOKUP(J41,'Facility Info Input'!$B$25:$D$34,3,FALSE)="",1,VLOOKUP(J41,'Facility Info Input'!$B$25:$D$34,3,FALSE)),0)</f>
        <v>0</v>
      </c>
      <c r="M41" s="22" t="str">
        <f>IF(StaffPayroll[[#This Row],[Employee ID Number / Code]]="","",IF(StaffPayroll[[#This Row],[Position / Title]]="","",VLOOKUP(StaffPayroll[[#This Row],[Position / Title]],Lists!A:C,2,FALSE)))</f>
        <v/>
      </c>
      <c r="N41" s="22">
        <f>IF(C41="",0,StaffPayroll[[#This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1" s="31">
        <f>IF(StaffPayroll[[#This Row],[Hourly WSB  Wage Minimum]]="",0,StaffPayroll[[#This Row],[Annual NF Wage Costs after WSB Minimum]]-StaffPayroll[[#This Row],[Annual NF Wage Costs before WSB Minimum]])</f>
        <v>0</v>
      </c>
      <c r="Q41" s="31">
        <f>IFERROR(IF(StaffPayroll[[#This Row],[Annual Cost of Wage Increase included in Rate Adjustment]]=0,0,P41*'Facility Info Input'!$F$10),0)</f>
        <v>0</v>
      </c>
      <c r="R41" s="32">
        <f>IFERROR(IF(StaffPayroll[[#This Row],[Annual Cost of Wage Increase included in Rate Adjustment]]=0,0,IF('Facility Info Input'!$F$11&lt;=0,0,P41*'Facility Info Input'!$F$11)),0)</f>
        <v>0</v>
      </c>
      <c r="S41" s="32">
        <f>IFERROR(IF(StaffPayroll[[#This Row],[Annual Cost of Wage Increase included in Rate Adjustment]]=0,0,IF('Facility Info Input'!$F$12&lt;=0,0,P41*'Facility Info Input'!$F$12)),0)</f>
        <v>0</v>
      </c>
      <c r="T41" s="32">
        <f t="shared" si="0"/>
        <v>0</v>
      </c>
      <c r="U41" s="33">
        <f t="shared" si="1"/>
        <v>0</v>
      </c>
    </row>
    <row r="42" spans="1:21">
      <c r="A42" s="76"/>
      <c r="B42" s="77"/>
      <c r="C42" s="81"/>
      <c r="D42" s="82"/>
      <c r="E42" s="82"/>
      <c r="F42" s="83"/>
      <c r="G42" s="84"/>
      <c r="H42" s="85"/>
      <c r="I42" s="71" t="e">
        <f>#REF!&amp;" "&amp;StaffPayroll[[#This Row],[Employee ID Number / Code]]</f>
        <v>#REF!</v>
      </c>
      <c r="J42" s="71" t="str">
        <f>_xlfn.IFNA(VLOOKUP(StaffPayroll[[#This Row],[Position / Title]],Lists!A:C,3,FALSE),"")</f>
        <v/>
      </c>
      <c r="K42" s="71">
        <f>StaffPayroll[[#This Row],[Payroll Period Ends Date (Minimum two months)]]-StaffPayroll[[#This Row],[Payroll Period Begins Date        (Must start after 6/1/2025)]]+1</f>
        <v>1</v>
      </c>
      <c r="L42" s="38">
        <f>IFERROR(IF(VLOOKUP(J42,'Facility Info Input'!$B$25:$D$34,3,FALSE)="",1,VLOOKUP(J42,'Facility Info Input'!$B$25:$D$34,3,FALSE)),0)</f>
        <v>0</v>
      </c>
      <c r="M42" s="22" t="str">
        <f>IF(StaffPayroll[[#This Row],[Employee ID Number / Code]]="","",IF(StaffPayroll[[#This Row],[Position / Title]]="","",VLOOKUP(StaffPayroll[[#This Row],[Position / Title]],Lists!A:C,2,FALSE)))</f>
        <v/>
      </c>
      <c r="N42" s="22">
        <f>IF(C42="",0,StaffPayroll[[#This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2" s="31">
        <f>IF(StaffPayroll[[#This Row],[Hourly WSB  Wage Minimum]]="",0,StaffPayroll[[#This Row],[Annual NF Wage Costs after WSB Minimum]]-StaffPayroll[[#This Row],[Annual NF Wage Costs before WSB Minimum]])</f>
        <v>0</v>
      </c>
      <c r="Q42" s="31">
        <f>IFERROR(IF(StaffPayroll[[#This Row],[Annual Cost of Wage Increase included in Rate Adjustment]]=0,0,P42*'Facility Info Input'!$F$10),0)</f>
        <v>0</v>
      </c>
      <c r="R42" s="32">
        <f>IFERROR(IF(StaffPayroll[[#This Row],[Annual Cost of Wage Increase included in Rate Adjustment]]=0,0,IF('Facility Info Input'!$F$11&lt;=0,0,P42*'Facility Info Input'!$F$11)),0)</f>
        <v>0</v>
      </c>
      <c r="S42" s="32">
        <f>IFERROR(IF(StaffPayroll[[#This Row],[Annual Cost of Wage Increase included in Rate Adjustment]]=0,0,IF('Facility Info Input'!$F$12&lt;=0,0,P42*'Facility Info Input'!$F$12)),0)</f>
        <v>0</v>
      </c>
      <c r="T42" s="32">
        <f t="shared" si="0"/>
        <v>0</v>
      </c>
      <c r="U42" s="33">
        <f t="shared" si="1"/>
        <v>0</v>
      </c>
    </row>
    <row r="43" spans="1:21">
      <c r="A43" s="76"/>
      <c r="B43" s="77"/>
      <c r="C43" s="81"/>
      <c r="D43" s="82"/>
      <c r="E43" s="82"/>
      <c r="F43" s="83"/>
      <c r="G43" s="84"/>
      <c r="H43" s="85"/>
      <c r="I43" s="71" t="e">
        <f>#REF!&amp;" "&amp;StaffPayroll[[#This Row],[Employee ID Number / Code]]</f>
        <v>#REF!</v>
      </c>
      <c r="J43" s="71" t="str">
        <f>_xlfn.IFNA(VLOOKUP(StaffPayroll[[#This Row],[Position / Title]],Lists!A:C,3,FALSE),"")</f>
        <v/>
      </c>
      <c r="K43" s="71">
        <f>StaffPayroll[[#This Row],[Payroll Period Ends Date (Minimum two months)]]-StaffPayroll[[#This Row],[Payroll Period Begins Date        (Must start after 6/1/2025)]]+1</f>
        <v>1</v>
      </c>
      <c r="L43" s="38">
        <f>IFERROR(IF(VLOOKUP(J43,'Facility Info Input'!$B$25:$D$34,3,FALSE)="",1,VLOOKUP(J43,'Facility Info Input'!$B$25:$D$34,3,FALSE)),0)</f>
        <v>0</v>
      </c>
      <c r="M43" s="22" t="str">
        <f>IF(StaffPayroll[[#This Row],[Employee ID Number / Code]]="","",IF(StaffPayroll[[#This Row],[Position / Title]]="","",VLOOKUP(StaffPayroll[[#This Row],[Position / Title]],Lists!A:C,2,FALSE)))</f>
        <v/>
      </c>
      <c r="N43" s="22">
        <f>IF(C43="",0,StaffPayroll[[#This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3" s="31">
        <f>IF(StaffPayroll[[#This Row],[Hourly WSB  Wage Minimum]]="",0,StaffPayroll[[#This Row],[Annual NF Wage Costs after WSB Minimum]]-StaffPayroll[[#This Row],[Annual NF Wage Costs before WSB Minimum]])</f>
        <v>0</v>
      </c>
      <c r="Q43" s="31">
        <f>IFERROR(IF(StaffPayroll[[#This Row],[Annual Cost of Wage Increase included in Rate Adjustment]]=0,0,P43*'Facility Info Input'!$F$10),0)</f>
        <v>0</v>
      </c>
      <c r="R43" s="32">
        <f>IFERROR(IF(StaffPayroll[[#This Row],[Annual Cost of Wage Increase included in Rate Adjustment]]=0,0,IF('Facility Info Input'!$F$11&lt;=0,0,P43*'Facility Info Input'!$F$11)),0)</f>
        <v>0</v>
      </c>
      <c r="S43" s="32">
        <f>IFERROR(IF(StaffPayroll[[#This Row],[Annual Cost of Wage Increase included in Rate Adjustment]]=0,0,IF('Facility Info Input'!$F$12&lt;=0,0,P43*'Facility Info Input'!$F$12)),0)</f>
        <v>0</v>
      </c>
      <c r="T43" s="32">
        <f t="shared" si="0"/>
        <v>0</v>
      </c>
      <c r="U43" s="33">
        <f t="shared" si="1"/>
        <v>0</v>
      </c>
    </row>
    <row r="44" spans="1:21">
      <c r="A44" s="76"/>
      <c r="B44" s="77"/>
      <c r="C44" s="81"/>
      <c r="D44" s="82"/>
      <c r="E44" s="82"/>
      <c r="F44" s="83"/>
      <c r="G44" s="84"/>
      <c r="H44" s="85"/>
      <c r="I44" s="71" t="e">
        <f>#REF!&amp;" "&amp;StaffPayroll[[#This Row],[Employee ID Number / Code]]</f>
        <v>#REF!</v>
      </c>
      <c r="J44" s="71" t="str">
        <f>_xlfn.IFNA(VLOOKUP(StaffPayroll[[#This Row],[Position / Title]],Lists!A:C,3,FALSE),"")</f>
        <v/>
      </c>
      <c r="K44" s="71">
        <f>StaffPayroll[[#This Row],[Payroll Period Ends Date (Minimum two months)]]-StaffPayroll[[#This Row],[Payroll Period Begins Date        (Must start after 6/1/2025)]]+1</f>
        <v>1</v>
      </c>
      <c r="L44" s="38">
        <f>IFERROR(IF(VLOOKUP(J44,'Facility Info Input'!$B$25:$D$34,3,FALSE)="",1,VLOOKUP(J44,'Facility Info Input'!$B$25:$D$34,3,FALSE)),0)</f>
        <v>0</v>
      </c>
      <c r="M44" s="22" t="str">
        <f>IF(StaffPayroll[[#This Row],[Employee ID Number / Code]]="","",IF(StaffPayroll[[#This Row],[Position / Title]]="","",VLOOKUP(StaffPayroll[[#This Row],[Position / Title]],Lists!A:C,2,FALSE)))</f>
        <v/>
      </c>
      <c r="N44" s="22">
        <f>IF(C44="",0,StaffPayroll[[#This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4" s="31">
        <f>IF(StaffPayroll[[#This Row],[Hourly WSB  Wage Minimum]]="",0,StaffPayroll[[#This Row],[Annual NF Wage Costs after WSB Minimum]]-StaffPayroll[[#This Row],[Annual NF Wage Costs before WSB Minimum]])</f>
        <v>0</v>
      </c>
      <c r="Q44" s="31">
        <f>IFERROR(IF(StaffPayroll[[#This Row],[Annual Cost of Wage Increase included in Rate Adjustment]]=0,0,P44*'Facility Info Input'!$F$10),0)</f>
        <v>0</v>
      </c>
      <c r="R44" s="32">
        <f>IFERROR(IF(StaffPayroll[[#This Row],[Annual Cost of Wage Increase included in Rate Adjustment]]=0,0,IF('Facility Info Input'!$F$11&lt;=0,0,P44*'Facility Info Input'!$F$11)),0)</f>
        <v>0</v>
      </c>
      <c r="S44" s="32">
        <f>IFERROR(IF(StaffPayroll[[#This Row],[Annual Cost of Wage Increase included in Rate Adjustment]]=0,0,IF('Facility Info Input'!$F$12&lt;=0,0,P44*'Facility Info Input'!$F$12)),0)</f>
        <v>0</v>
      </c>
      <c r="T44" s="32">
        <f t="shared" si="0"/>
        <v>0</v>
      </c>
      <c r="U44" s="33">
        <f t="shared" si="1"/>
        <v>0</v>
      </c>
    </row>
    <row r="45" spans="1:21">
      <c r="A45" s="76"/>
      <c r="B45" s="77"/>
      <c r="C45" s="81"/>
      <c r="D45" s="82"/>
      <c r="E45" s="82"/>
      <c r="F45" s="83"/>
      <c r="G45" s="84"/>
      <c r="H45" s="85"/>
      <c r="I45" s="71" t="e">
        <f>#REF!&amp;" "&amp;StaffPayroll[[#This Row],[Employee ID Number / Code]]</f>
        <v>#REF!</v>
      </c>
      <c r="J45" s="71" t="str">
        <f>_xlfn.IFNA(VLOOKUP(StaffPayroll[[#This Row],[Position / Title]],Lists!A:C,3,FALSE),"")</f>
        <v/>
      </c>
      <c r="K45" s="71">
        <f>StaffPayroll[[#This Row],[Payroll Period Ends Date (Minimum two months)]]-StaffPayroll[[#This Row],[Payroll Period Begins Date        (Must start after 6/1/2025)]]+1</f>
        <v>1</v>
      </c>
      <c r="L45" s="38">
        <f>IFERROR(IF(VLOOKUP(J45,'Facility Info Input'!$B$25:$D$34,3,FALSE)="",1,VLOOKUP(J45,'Facility Info Input'!$B$25:$D$34,3,FALSE)),0)</f>
        <v>0</v>
      </c>
      <c r="M45" s="22" t="str">
        <f>IF(StaffPayroll[[#This Row],[Employee ID Number / Code]]="","",IF(StaffPayroll[[#This Row],[Position / Title]]="","",VLOOKUP(StaffPayroll[[#This Row],[Position / Title]],Lists!A:C,2,FALSE)))</f>
        <v/>
      </c>
      <c r="N45" s="22">
        <f>IF(C45="",0,StaffPayroll[[#This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5" s="31">
        <f>IF(StaffPayroll[[#This Row],[Hourly WSB  Wage Minimum]]="",0,StaffPayroll[[#This Row],[Annual NF Wage Costs after WSB Minimum]]-StaffPayroll[[#This Row],[Annual NF Wage Costs before WSB Minimum]])</f>
        <v>0</v>
      </c>
      <c r="Q45" s="31">
        <f>IFERROR(IF(StaffPayroll[[#This Row],[Annual Cost of Wage Increase included in Rate Adjustment]]=0,0,P45*'Facility Info Input'!$F$10),0)</f>
        <v>0</v>
      </c>
      <c r="R45" s="32">
        <f>IFERROR(IF(StaffPayroll[[#This Row],[Annual Cost of Wage Increase included in Rate Adjustment]]=0,0,IF('Facility Info Input'!$F$11&lt;=0,0,P45*'Facility Info Input'!$F$11)),0)</f>
        <v>0</v>
      </c>
      <c r="S45" s="32">
        <f>IFERROR(IF(StaffPayroll[[#This Row],[Annual Cost of Wage Increase included in Rate Adjustment]]=0,0,IF('Facility Info Input'!$F$12&lt;=0,0,P45*'Facility Info Input'!$F$12)),0)</f>
        <v>0</v>
      </c>
      <c r="T45" s="32">
        <f t="shared" si="0"/>
        <v>0</v>
      </c>
      <c r="U45" s="33">
        <f t="shared" si="1"/>
        <v>0</v>
      </c>
    </row>
    <row r="46" spans="1:21">
      <c r="A46" s="76"/>
      <c r="B46" s="77"/>
      <c r="C46" s="81"/>
      <c r="D46" s="82"/>
      <c r="E46" s="82"/>
      <c r="F46" s="83"/>
      <c r="G46" s="84"/>
      <c r="H46" s="85"/>
      <c r="I46" s="71" t="e">
        <f>#REF!&amp;" "&amp;StaffPayroll[[#This Row],[Employee ID Number / Code]]</f>
        <v>#REF!</v>
      </c>
      <c r="J46" s="71" t="str">
        <f>_xlfn.IFNA(VLOOKUP(StaffPayroll[[#This Row],[Position / Title]],Lists!A:C,3,FALSE),"")</f>
        <v/>
      </c>
      <c r="K46" s="71">
        <f>StaffPayroll[[#This Row],[Payroll Period Ends Date (Minimum two months)]]-StaffPayroll[[#This Row],[Payroll Period Begins Date        (Must start after 6/1/2025)]]+1</f>
        <v>1</v>
      </c>
      <c r="L46" s="38">
        <f>IFERROR(IF(VLOOKUP(J46,'Facility Info Input'!$B$25:$D$34,3,FALSE)="",1,VLOOKUP(J46,'Facility Info Input'!$B$25:$D$34,3,FALSE)),0)</f>
        <v>0</v>
      </c>
      <c r="M46" s="22" t="str">
        <f>IF(StaffPayroll[[#This Row],[Employee ID Number / Code]]="","",IF(StaffPayroll[[#This Row],[Position / Title]]="","",VLOOKUP(StaffPayroll[[#This Row],[Position / Title]],Lists!A:C,2,FALSE)))</f>
        <v/>
      </c>
      <c r="N46" s="22">
        <f>IF(C46="",0,StaffPayroll[[#This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6" s="31">
        <f>IF(StaffPayroll[[#This Row],[Hourly WSB  Wage Minimum]]="",0,StaffPayroll[[#This Row],[Annual NF Wage Costs after WSB Minimum]]-StaffPayroll[[#This Row],[Annual NF Wage Costs before WSB Minimum]])</f>
        <v>0</v>
      </c>
      <c r="Q46" s="31">
        <f>IFERROR(IF(StaffPayroll[[#This Row],[Annual Cost of Wage Increase included in Rate Adjustment]]=0,0,P46*'Facility Info Input'!$F$10),0)</f>
        <v>0</v>
      </c>
      <c r="R46" s="32">
        <f>IFERROR(IF(StaffPayroll[[#This Row],[Annual Cost of Wage Increase included in Rate Adjustment]]=0,0,IF('Facility Info Input'!$F$11&lt;=0,0,P46*'Facility Info Input'!$F$11)),0)</f>
        <v>0</v>
      </c>
      <c r="S46" s="32">
        <f>IFERROR(IF(StaffPayroll[[#This Row],[Annual Cost of Wage Increase included in Rate Adjustment]]=0,0,IF('Facility Info Input'!$F$12&lt;=0,0,P46*'Facility Info Input'!$F$12)),0)</f>
        <v>0</v>
      </c>
      <c r="T46" s="32">
        <f t="shared" si="0"/>
        <v>0</v>
      </c>
      <c r="U46" s="33">
        <f t="shared" si="1"/>
        <v>0</v>
      </c>
    </row>
    <row r="47" spans="1:21">
      <c r="A47" s="76"/>
      <c r="B47" s="77"/>
      <c r="C47" s="81"/>
      <c r="D47" s="82"/>
      <c r="E47" s="82"/>
      <c r="F47" s="83"/>
      <c r="G47" s="84"/>
      <c r="H47" s="85"/>
      <c r="I47" s="71" t="e">
        <f>#REF!&amp;" "&amp;StaffPayroll[[#This Row],[Employee ID Number / Code]]</f>
        <v>#REF!</v>
      </c>
      <c r="J47" s="71" t="str">
        <f>_xlfn.IFNA(VLOOKUP(StaffPayroll[[#This Row],[Position / Title]],Lists!A:C,3,FALSE),"")</f>
        <v/>
      </c>
      <c r="K47" s="71">
        <f>StaffPayroll[[#This Row],[Payroll Period Ends Date (Minimum two months)]]-StaffPayroll[[#This Row],[Payroll Period Begins Date        (Must start after 6/1/2025)]]+1</f>
        <v>1</v>
      </c>
      <c r="L47" s="38">
        <f>IFERROR(IF(VLOOKUP(J47,'Facility Info Input'!$B$25:$D$34,3,FALSE)="",1,VLOOKUP(J47,'Facility Info Input'!$B$25:$D$34,3,FALSE)),0)</f>
        <v>0</v>
      </c>
      <c r="M47" s="22" t="str">
        <f>IF(StaffPayroll[[#This Row],[Employee ID Number / Code]]="","",IF(StaffPayroll[[#This Row],[Position / Title]]="","",VLOOKUP(StaffPayroll[[#This Row],[Position / Title]],Lists!A:C,2,FALSE)))</f>
        <v/>
      </c>
      <c r="N47" s="22">
        <f>IF(C47="",0,StaffPayroll[[#This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7" s="31">
        <f>IF(StaffPayroll[[#This Row],[Hourly WSB  Wage Minimum]]="",0,StaffPayroll[[#This Row],[Annual NF Wage Costs after WSB Minimum]]-StaffPayroll[[#This Row],[Annual NF Wage Costs before WSB Minimum]])</f>
        <v>0</v>
      </c>
      <c r="Q47" s="31">
        <f>IFERROR(IF(StaffPayroll[[#This Row],[Annual Cost of Wage Increase included in Rate Adjustment]]=0,0,P47*'Facility Info Input'!$F$10),0)</f>
        <v>0</v>
      </c>
      <c r="R47" s="32">
        <f>IFERROR(IF(StaffPayroll[[#This Row],[Annual Cost of Wage Increase included in Rate Adjustment]]=0,0,IF('Facility Info Input'!$F$11&lt;=0,0,P47*'Facility Info Input'!$F$11)),0)</f>
        <v>0</v>
      </c>
      <c r="S47" s="32">
        <f>IFERROR(IF(StaffPayroll[[#This Row],[Annual Cost of Wage Increase included in Rate Adjustment]]=0,0,IF('Facility Info Input'!$F$12&lt;=0,0,P47*'Facility Info Input'!$F$12)),0)</f>
        <v>0</v>
      </c>
      <c r="T47" s="32">
        <f t="shared" si="0"/>
        <v>0</v>
      </c>
      <c r="U47" s="33">
        <f t="shared" si="1"/>
        <v>0</v>
      </c>
    </row>
    <row r="48" spans="1:21">
      <c r="A48" s="76"/>
      <c r="B48" s="77"/>
      <c r="C48" s="81"/>
      <c r="D48" s="82"/>
      <c r="E48" s="82"/>
      <c r="F48" s="83"/>
      <c r="G48" s="84"/>
      <c r="H48" s="85"/>
      <c r="I48" s="71" t="e">
        <f>#REF!&amp;" "&amp;StaffPayroll[[#This Row],[Employee ID Number / Code]]</f>
        <v>#REF!</v>
      </c>
      <c r="J48" s="71" t="str">
        <f>_xlfn.IFNA(VLOOKUP(StaffPayroll[[#This Row],[Position / Title]],Lists!A:C,3,FALSE),"")</f>
        <v/>
      </c>
      <c r="K48" s="71">
        <f>StaffPayroll[[#This Row],[Payroll Period Ends Date (Minimum two months)]]-StaffPayroll[[#This Row],[Payroll Period Begins Date        (Must start after 6/1/2025)]]+1</f>
        <v>1</v>
      </c>
      <c r="L48" s="38">
        <f>IFERROR(IF(VLOOKUP(J48,'Facility Info Input'!$B$25:$D$34,3,FALSE)="",1,VLOOKUP(J48,'Facility Info Input'!$B$25:$D$34,3,FALSE)),0)</f>
        <v>0</v>
      </c>
      <c r="M48" s="22" t="str">
        <f>IF(StaffPayroll[[#This Row],[Employee ID Number / Code]]="","",IF(StaffPayroll[[#This Row],[Position / Title]]="","",VLOOKUP(StaffPayroll[[#This Row],[Position / Title]],Lists!A:C,2,FALSE)))</f>
        <v/>
      </c>
      <c r="N48" s="22">
        <f>IF(C48="",0,StaffPayroll[[#This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8" s="31">
        <f>IF(StaffPayroll[[#This Row],[Hourly WSB  Wage Minimum]]="",0,StaffPayroll[[#This Row],[Annual NF Wage Costs after WSB Minimum]]-StaffPayroll[[#This Row],[Annual NF Wage Costs before WSB Minimum]])</f>
        <v>0</v>
      </c>
      <c r="Q48" s="31">
        <f>IFERROR(IF(StaffPayroll[[#This Row],[Annual Cost of Wage Increase included in Rate Adjustment]]=0,0,P48*'Facility Info Input'!$F$10),0)</f>
        <v>0</v>
      </c>
      <c r="R48" s="32">
        <f>IFERROR(IF(StaffPayroll[[#This Row],[Annual Cost of Wage Increase included in Rate Adjustment]]=0,0,IF('Facility Info Input'!$F$11&lt;=0,0,P48*'Facility Info Input'!$F$11)),0)</f>
        <v>0</v>
      </c>
      <c r="S48" s="32">
        <f>IFERROR(IF(StaffPayroll[[#This Row],[Annual Cost of Wage Increase included in Rate Adjustment]]=0,0,IF('Facility Info Input'!$F$12&lt;=0,0,P48*'Facility Info Input'!$F$12)),0)</f>
        <v>0</v>
      </c>
      <c r="T48" s="32">
        <f t="shared" si="0"/>
        <v>0</v>
      </c>
      <c r="U48" s="33">
        <f t="shared" si="1"/>
        <v>0</v>
      </c>
    </row>
    <row r="49" spans="1:21">
      <c r="A49" s="76"/>
      <c r="B49" s="77"/>
      <c r="C49" s="81"/>
      <c r="D49" s="82"/>
      <c r="E49" s="82"/>
      <c r="F49" s="83"/>
      <c r="G49" s="84"/>
      <c r="H49" s="85"/>
      <c r="I49" s="71" t="e">
        <f>#REF!&amp;" "&amp;StaffPayroll[[#This Row],[Employee ID Number / Code]]</f>
        <v>#REF!</v>
      </c>
      <c r="J49" s="71" t="str">
        <f>_xlfn.IFNA(VLOOKUP(StaffPayroll[[#This Row],[Position / Title]],Lists!A:C,3,FALSE),"")</f>
        <v/>
      </c>
      <c r="K49" s="71">
        <f>StaffPayroll[[#This Row],[Payroll Period Ends Date (Minimum two months)]]-StaffPayroll[[#This Row],[Payroll Period Begins Date        (Must start after 6/1/2025)]]+1</f>
        <v>1</v>
      </c>
      <c r="L49" s="38">
        <f>IFERROR(IF(VLOOKUP(J49,'Facility Info Input'!$B$25:$D$34,3,FALSE)="",1,VLOOKUP(J49,'Facility Info Input'!$B$25:$D$34,3,FALSE)),0)</f>
        <v>0</v>
      </c>
      <c r="M49" s="22" t="str">
        <f>IF(StaffPayroll[[#This Row],[Employee ID Number / Code]]="","",IF(StaffPayroll[[#This Row],[Position / Title]]="","",VLOOKUP(StaffPayroll[[#This Row],[Position / Title]],Lists!A:C,2,FALSE)))</f>
        <v/>
      </c>
      <c r="N49" s="22">
        <f>IF(C49="",0,StaffPayroll[[#This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9" s="31">
        <f>IF(StaffPayroll[[#This Row],[Hourly WSB  Wage Minimum]]="",0,StaffPayroll[[#This Row],[Annual NF Wage Costs after WSB Minimum]]-StaffPayroll[[#This Row],[Annual NF Wage Costs before WSB Minimum]])</f>
        <v>0</v>
      </c>
      <c r="Q49" s="31">
        <f>IFERROR(IF(StaffPayroll[[#This Row],[Annual Cost of Wage Increase included in Rate Adjustment]]=0,0,P49*'Facility Info Input'!$F$10),0)</f>
        <v>0</v>
      </c>
      <c r="R49" s="32">
        <f>IFERROR(IF(StaffPayroll[[#This Row],[Annual Cost of Wage Increase included in Rate Adjustment]]=0,0,IF('Facility Info Input'!$F$11&lt;=0,0,P49*'Facility Info Input'!$F$11)),0)</f>
        <v>0</v>
      </c>
      <c r="S49" s="32">
        <f>IFERROR(IF(StaffPayroll[[#This Row],[Annual Cost of Wage Increase included in Rate Adjustment]]=0,0,IF('Facility Info Input'!$F$12&lt;=0,0,P49*'Facility Info Input'!$F$12)),0)</f>
        <v>0</v>
      </c>
      <c r="T49" s="32">
        <f t="shared" si="0"/>
        <v>0</v>
      </c>
      <c r="U49" s="33">
        <f t="shared" si="1"/>
        <v>0</v>
      </c>
    </row>
    <row r="50" spans="1:21">
      <c r="A50" s="76"/>
      <c r="B50" s="77"/>
      <c r="C50" s="81"/>
      <c r="D50" s="82"/>
      <c r="E50" s="82"/>
      <c r="F50" s="83"/>
      <c r="G50" s="84"/>
      <c r="H50" s="85"/>
      <c r="I50" s="71" t="e">
        <f>#REF!&amp;" "&amp;StaffPayroll[[#This Row],[Employee ID Number / Code]]</f>
        <v>#REF!</v>
      </c>
      <c r="J50" s="71" t="str">
        <f>_xlfn.IFNA(VLOOKUP(StaffPayroll[[#This Row],[Position / Title]],Lists!A:C,3,FALSE),"")</f>
        <v/>
      </c>
      <c r="K50" s="71">
        <f>StaffPayroll[[#This Row],[Payroll Period Ends Date (Minimum two months)]]-StaffPayroll[[#This Row],[Payroll Period Begins Date        (Must start after 6/1/2025)]]+1</f>
        <v>1</v>
      </c>
      <c r="L50" s="38">
        <f>IFERROR(IF(VLOOKUP(J50,'Facility Info Input'!$B$25:$D$34,3,FALSE)="",1,VLOOKUP(J50,'Facility Info Input'!$B$25:$D$34,3,FALSE)),0)</f>
        <v>0</v>
      </c>
      <c r="M50" s="22" t="str">
        <f>IF(StaffPayroll[[#This Row],[Employee ID Number / Code]]="","",IF(StaffPayroll[[#This Row],[Position / Title]]="","",VLOOKUP(StaffPayroll[[#This Row],[Position / Title]],Lists!A:C,2,FALSE)))</f>
        <v/>
      </c>
      <c r="N50" s="22">
        <f>IF(C50="",0,StaffPayroll[[#This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0" s="31">
        <f>IF(StaffPayroll[[#This Row],[Hourly WSB  Wage Minimum]]="",0,StaffPayroll[[#This Row],[Annual NF Wage Costs after WSB Minimum]]-StaffPayroll[[#This Row],[Annual NF Wage Costs before WSB Minimum]])</f>
        <v>0</v>
      </c>
      <c r="Q50" s="31">
        <f>IFERROR(IF(StaffPayroll[[#This Row],[Annual Cost of Wage Increase included in Rate Adjustment]]=0,0,P50*'Facility Info Input'!$F$10),0)</f>
        <v>0</v>
      </c>
      <c r="R50" s="32">
        <f>IFERROR(IF(StaffPayroll[[#This Row],[Annual Cost of Wage Increase included in Rate Adjustment]]=0,0,IF('Facility Info Input'!$F$11&lt;=0,0,P50*'Facility Info Input'!$F$11)),0)</f>
        <v>0</v>
      </c>
      <c r="S50" s="32">
        <f>IFERROR(IF(StaffPayroll[[#This Row],[Annual Cost of Wage Increase included in Rate Adjustment]]=0,0,IF('Facility Info Input'!$F$12&lt;=0,0,P50*'Facility Info Input'!$F$12)),0)</f>
        <v>0</v>
      </c>
      <c r="T50" s="32">
        <f t="shared" si="0"/>
        <v>0</v>
      </c>
      <c r="U50" s="33">
        <f t="shared" si="1"/>
        <v>0</v>
      </c>
    </row>
    <row r="51" spans="1:21">
      <c r="A51" s="76"/>
      <c r="B51" s="77"/>
      <c r="C51" s="81"/>
      <c r="D51" s="82"/>
      <c r="E51" s="82"/>
      <c r="F51" s="83"/>
      <c r="G51" s="84"/>
      <c r="H51" s="85"/>
      <c r="I51" s="71" t="e">
        <f>#REF!&amp;" "&amp;StaffPayroll[[#This Row],[Employee ID Number / Code]]</f>
        <v>#REF!</v>
      </c>
      <c r="J51" s="71" t="str">
        <f>_xlfn.IFNA(VLOOKUP(StaffPayroll[[#This Row],[Position / Title]],Lists!A:C,3,FALSE),"")</f>
        <v/>
      </c>
      <c r="K51" s="71">
        <f>StaffPayroll[[#This Row],[Payroll Period Ends Date (Minimum two months)]]-StaffPayroll[[#This Row],[Payroll Period Begins Date        (Must start after 6/1/2025)]]+1</f>
        <v>1</v>
      </c>
      <c r="L51" s="38">
        <f>IFERROR(IF(VLOOKUP(J51,'Facility Info Input'!$B$25:$D$34,3,FALSE)="",1,VLOOKUP(J51,'Facility Info Input'!$B$25:$D$34,3,FALSE)),0)</f>
        <v>0</v>
      </c>
      <c r="M51" s="22" t="str">
        <f>IF(StaffPayroll[[#This Row],[Employee ID Number / Code]]="","",IF(StaffPayroll[[#This Row],[Position / Title]]="","",VLOOKUP(StaffPayroll[[#This Row],[Position / Title]],Lists!A:C,2,FALSE)))</f>
        <v/>
      </c>
      <c r="N51" s="22">
        <f>IF(C51="",0,StaffPayroll[[#This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1" s="31">
        <f>IF(StaffPayroll[[#This Row],[Hourly WSB  Wage Minimum]]="",0,StaffPayroll[[#This Row],[Annual NF Wage Costs after WSB Minimum]]-StaffPayroll[[#This Row],[Annual NF Wage Costs before WSB Minimum]])</f>
        <v>0</v>
      </c>
      <c r="Q51" s="31">
        <f>IFERROR(IF(StaffPayroll[[#This Row],[Annual Cost of Wage Increase included in Rate Adjustment]]=0,0,P51*'Facility Info Input'!$F$10),0)</f>
        <v>0</v>
      </c>
      <c r="R51" s="32">
        <f>IFERROR(IF(StaffPayroll[[#This Row],[Annual Cost of Wage Increase included in Rate Adjustment]]=0,0,IF('Facility Info Input'!$F$11&lt;=0,0,P51*'Facility Info Input'!$F$11)),0)</f>
        <v>0</v>
      </c>
      <c r="S51" s="32">
        <f>IFERROR(IF(StaffPayroll[[#This Row],[Annual Cost of Wage Increase included in Rate Adjustment]]=0,0,IF('Facility Info Input'!$F$12&lt;=0,0,P51*'Facility Info Input'!$F$12)),0)</f>
        <v>0</v>
      </c>
      <c r="T51" s="32">
        <f t="shared" si="0"/>
        <v>0</v>
      </c>
      <c r="U51" s="33">
        <f t="shared" si="1"/>
        <v>0</v>
      </c>
    </row>
    <row r="52" spans="1:21">
      <c r="A52" s="76"/>
      <c r="B52" s="77"/>
      <c r="C52" s="81"/>
      <c r="D52" s="82"/>
      <c r="E52" s="82"/>
      <c r="F52" s="83"/>
      <c r="G52" s="84"/>
      <c r="H52" s="85"/>
      <c r="I52" s="71" t="e">
        <f>#REF!&amp;" "&amp;StaffPayroll[[#This Row],[Employee ID Number / Code]]</f>
        <v>#REF!</v>
      </c>
      <c r="J52" s="71" t="str">
        <f>_xlfn.IFNA(VLOOKUP(StaffPayroll[[#This Row],[Position / Title]],Lists!A:C,3,FALSE),"")</f>
        <v/>
      </c>
      <c r="K52" s="71">
        <f>StaffPayroll[[#This Row],[Payroll Period Ends Date (Minimum two months)]]-StaffPayroll[[#This Row],[Payroll Period Begins Date        (Must start after 6/1/2025)]]+1</f>
        <v>1</v>
      </c>
      <c r="L52" s="38">
        <f>IFERROR(IF(VLOOKUP(J52,'Facility Info Input'!$B$25:$D$34,3,FALSE)="",1,VLOOKUP(J52,'Facility Info Input'!$B$25:$D$34,3,FALSE)),0)</f>
        <v>0</v>
      </c>
      <c r="M52" s="22" t="str">
        <f>IF(StaffPayroll[[#This Row],[Employee ID Number / Code]]="","",IF(StaffPayroll[[#This Row],[Position / Title]]="","",VLOOKUP(StaffPayroll[[#This Row],[Position / Title]],Lists!A:C,2,FALSE)))</f>
        <v/>
      </c>
      <c r="N52" s="22">
        <f>IF(C52="",0,StaffPayroll[[#This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2" s="31">
        <f>IF(StaffPayroll[[#This Row],[Hourly WSB  Wage Minimum]]="",0,StaffPayroll[[#This Row],[Annual NF Wage Costs after WSB Minimum]]-StaffPayroll[[#This Row],[Annual NF Wage Costs before WSB Minimum]])</f>
        <v>0</v>
      </c>
      <c r="Q52" s="31">
        <f>IFERROR(IF(StaffPayroll[[#This Row],[Annual Cost of Wage Increase included in Rate Adjustment]]=0,0,P52*'Facility Info Input'!$F$10),0)</f>
        <v>0</v>
      </c>
      <c r="R52" s="32">
        <f>IFERROR(IF(StaffPayroll[[#This Row],[Annual Cost of Wage Increase included in Rate Adjustment]]=0,0,IF('Facility Info Input'!$F$11&lt;=0,0,P52*'Facility Info Input'!$F$11)),0)</f>
        <v>0</v>
      </c>
      <c r="S52" s="32">
        <f>IFERROR(IF(StaffPayroll[[#This Row],[Annual Cost of Wage Increase included in Rate Adjustment]]=0,0,IF('Facility Info Input'!$F$12&lt;=0,0,P52*'Facility Info Input'!$F$12)),0)</f>
        <v>0</v>
      </c>
      <c r="T52" s="32">
        <f t="shared" si="0"/>
        <v>0</v>
      </c>
      <c r="U52" s="33">
        <f t="shared" si="1"/>
        <v>0</v>
      </c>
    </row>
    <row r="53" spans="1:21">
      <c r="A53" s="76"/>
      <c r="B53" s="77"/>
      <c r="C53" s="81"/>
      <c r="D53" s="82"/>
      <c r="E53" s="82"/>
      <c r="F53" s="83"/>
      <c r="G53" s="84"/>
      <c r="H53" s="85"/>
      <c r="I53" s="71" t="e">
        <f>#REF!&amp;" "&amp;StaffPayroll[[#This Row],[Employee ID Number / Code]]</f>
        <v>#REF!</v>
      </c>
      <c r="J53" s="71" t="str">
        <f>_xlfn.IFNA(VLOOKUP(StaffPayroll[[#This Row],[Position / Title]],Lists!A:C,3,FALSE),"")</f>
        <v/>
      </c>
      <c r="K53" s="71">
        <f>StaffPayroll[[#This Row],[Payroll Period Ends Date (Minimum two months)]]-StaffPayroll[[#This Row],[Payroll Period Begins Date        (Must start after 6/1/2025)]]+1</f>
        <v>1</v>
      </c>
      <c r="L53" s="38">
        <f>IFERROR(IF(VLOOKUP(J53,'Facility Info Input'!$B$25:$D$34,3,FALSE)="",1,VLOOKUP(J53,'Facility Info Input'!$B$25:$D$34,3,FALSE)),0)</f>
        <v>0</v>
      </c>
      <c r="M53" s="22" t="str">
        <f>IF(StaffPayroll[[#This Row],[Employee ID Number / Code]]="","",IF(StaffPayroll[[#This Row],[Position / Title]]="","",VLOOKUP(StaffPayroll[[#This Row],[Position / Title]],Lists!A:C,2,FALSE)))</f>
        <v/>
      </c>
      <c r="N53" s="22">
        <f>IF(C53="",0,StaffPayroll[[#This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3" s="31">
        <f>IF(StaffPayroll[[#This Row],[Hourly WSB  Wage Minimum]]="",0,StaffPayroll[[#This Row],[Annual NF Wage Costs after WSB Minimum]]-StaffPayroll[[#This Row],[Annual NF Wage Costs before WSB Minimum]])</f>
        <v>0</v>
      </c>
      <c r="Q53" s="31">
        <f>IFERROR(IF(StaffPayroll[[#This Row],[Annual Cost of Wage Increase included in Rate Adjustment]]=0,0,P53*'Facility Info Input'!$F$10),0)</f>
        <v>0</v>
      </c>
      <c r="R53" s="32">
        <f>IFERROR(IF(StaffPayroll[[#This Row],[Annual Cost of Wage Increase included in Rate Adjustment]]=0,0,IF('Facility Info Input'!$F$11&lt;=0,0,P53*'Facility Info Input'!$F$11)),0)</f>
        <v>0</v>
      </c>
      <c r="S53" s="32">
        <f>IFERROR(IF(StaffPayroll[[#This Row],[Annual Cost of Wage Increase included in Rate Adjustment]]=0,0,IF('Facility Info Input'!$F$12&lt;=0,0,P53*'Facility Info Input'!$F$12)),0)</f>
        <v>0</v>
      </c>
      <c r="T53" s="32">
        <f t="shared" si="0"/>
        <v>0</v>
      </c>
      <c r="U53" s="33">
        <f t="shared" si="1"/>
        <v>0</v>
      </c>
    </row>
    <row r="54" spans="1:21">
      <c r="A54" s="76"/>
      <c r="B54" s="77"/>
      <c r="C54" s="81"/>
      <c r="D54" s="82"/>
      <c r="E54" s="82"/>
      <c r="F54" s="83"/>
      <c r="G54" s="84"/>
      <c r="H54" s="85"/>
      <c r="I54" s="71" t="e">
        <f>#REF!&amp;" "&amp;StaffPayroll[[#This Row],[Employee ID Number / Code]]</f>
        <v>#REF!</v>
      </c>
      <c r="J54" s="71" t="str">
        <f>_xlfn.IFNA(VLOOKUP(StaffPayroll[[#This Row],[Position / Title]],Lists!A:C,3,FALSE),"")</f>
        <v/>
      </c>
      <c r="K54" s="71">
        <f>StaffPayroll[[#This Row],[Payroll Period Ends Date (Minimum two months)]]-StaffPayroll[[#This Row],[Payroll Period Begins Date        (Must start after 6/1/2025)]]+1</f>
        <v>1</v>
      </c>
      <c r="L54" s="38">
        <f>IFERROR(IF(VLOOKUP(J54,'Facility Info Input'!$B$25:$D$34,3,FALSE)="",1,VLOOKUP(J54,'Facility Info Input'!$B$25:$D$34,3,FALSE)),0)</f>
        <v>0</v>
      </c>
      <c r="M54" s="22" t="str">
        <f>IF(StaffPayroll[[#This Row],[Employee ID Number / Code]]="","",IF(StaffPayroll[[#This Row],[Position / Title]]="","",VLOOKUP(StaffPayroll[[#This Row],[Position / Title]],Lists!A:C,2,FALSE)))</f>
        <v/>
      </c>
      <c r="N54" s="22">
        <f>IF(C54="",0,StaffPayroll[[#This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4" s="31">
        <f>IF(StaffPayroll[[#This Row],[Hourly WSB  Wage Minimum]]="",0,StaffPayroll[[#This Row],[Annual NF Wage Costs after WSB Minimum]]-StaffPayroll[[#This Row],[Annual NF Wage Costs before WSB Minimum]])</f>
        <v>0</v>
      </c>
      <c r="Q54" s="31">
        <f>IFERROR(IF(StaffPayroll[[#This Row],[Annual Cost of Wage Increase included in Rate Adjustment]]=0,0,P54*'Facility Info Input'!$F$10),0)</f>
        <v>0</v>
      </c>
      <c r="R54" s="32">
        <f>IFERROR(IF(StaffPayroll[[#This Row],[Annual Cost of Wage Increase included in Rate Adjustment]]=0,0,IF('Facility Info Input'!$F$11&lt;=0,0,P54*'Facility Info Input'!$F$11)),0)</f>
        <v>0</v>
      </c>
      <c r="S54" s="32">
        <f>IFERROR(IF(StaffPayroll[[#This Row],[Annual Cost of Wage Increase included in Rate Adjustment]]=0,0,IF('Facility Info Input'!$F$12&lt;=0,0,P54*'Facility Info Input'!$F$12)),0)</f>
        <v>0</v>
      </c>
      <c r="T54" s="32">
        <f t="shared" si="0"/>
        <v>0</v>
      </c>
      <c r="U54" s="33">
        <f t="shared" si="1"/>
        <v>0</v>
      </c>
    </row>
    <row r="55" spans="1:21">
      <c r="A55" s="76"/>
      <c r="B55" s="77"/>
      <c r="C55" s="81"/>
      <c r="D55" s="82"/>
      <c r="E55" s="82"/>
      <c r="F55" s="83"/>
      <c r="G55" s="84"/>
      <c r="H55" s="85"/>
      <c r="I55" s="71" t="e">
        <f>#REF!&amp;" "&amp;StaffPayroll[[#This Row],[Employee ID Number / Code]]</f>
        <v>#REF!</v>
      </c>
      <c r="J55" s="71" t="str">
        <f>_xlfn.IFNA(VLOOKUP(StaffPayroll[[#This Row],[Position / Title]],Lists!A:C,3,FALSE),"")</f>
        <v/>
      </c>
      <c r="K55" s="71">
        <f>StaffPayroll[[#This Row],[Payroll Period Ends Date (Minimum two months)]]-StaffPayroll[[#This Row],[Payroll Period Begins Date        (Must start after 6/1/2025)]]+1</f>
        <v>1</v>
      </c>
      <c r="L55" s="38">
        <f>IFERROR(IF(VLOOKUP(J55,'Facility Info Input'!$B$25:$D$34,3,FALSE)="",1,VLOOKUP(J55,'Facility Info Input'!$B$25:$D$34,3,FALSE)),0)</f>
        <v>0</v>
      </c>
      <c r="M55" s="22" t="str">
        <f>IF(StaffPayroll[[#This Row],[Employee ID Number / Code]]="","",IF(StaffPayroll[[#This Row],[Position / Title]]="","",VLOOKUP(StaffPayroll[[#This Row],[Position / Title]],Lists!A:C,2,FALSE)))</f>
        <v/>
      </c>
      <c r="N55" s="22">
        <f>IF(C55="",0,StaffPayroll[[#This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5" s="31">
        <f>IF(StaffPayroll[[#This Row],[Hourly WSB  Wage Minimum]]="",0,StaffPayroll[[#This Row],[Annual NF Wage Costs after WSB Minimum]]-StaffPayroll[[#This Row],[Annual NF Wage Costs before WSB Minimum]])</f>
        <v>0</v>
      </c>
      <c r="Q55" s="31">
        <f>IFERROR(IF(StaffPayroll[[#This Row],[Annual Cost of Wage Increase included in Rate Adjustment]]=0,0,P55*'Facility Info Input'!$F$10),0)</f>
        <v>0</v>
      </c>
      <c r="R55" s="32">
        <f>IFERROR(IF(StaffPayroll[[#This Row],[Annual Cost of Wage Increase included in Rate Adjustment]]=0,0,IF('Facility Info Input'!$F$11&lt;=0,0,P55*'Facility Info Input'!$F$11)),0)</f>
        <v>0</v>
      </c>
      <c r="S55" s="32">
        <f>IFERROR(IF(StaffPayroll[[#This Row],[Annual Cost of Wage Increase included in Rate Adjustment]]=0,0,IF('Facility Info Input'!$F$12&lt;=0,0,P55*'Facility Info Input'!$F$12)),0)</f>
        <v>0</v>
      </c>
      <c r="T55" s="32">
        <f t="shared" si="0"/>
        <v>0</v>
      </c>
      <c r="U55" s="33">
        <f t="shared" si="1"/>
        <v>0</v>
      </c>
    </row>
    <row r="56" spans="1:21">
      <c r="A56" s="76"/>
      <c r="B56" s="77"/>
      <c r="C56" s="81"/>
      <c r="D56" s="82"/>
      <c r="E56" s="82"/>
      <c r="F56" s="83"/>
      <c r="G56" s="84"/>
      <c r="H56" s="85"/>
      <c r="I56" s="71" t="e">
        <f>#REF!&amp;" "&amp;StaffPayroll[[#This Row],[Employee ID Number / Code]]</f>
        <v>#REF!</v>
      </c>
      <c r="J56" s="71" t="str">
        <f>_xlfn.IFNA(VLOOKUP(StaffPayroll[[#This Row],[Position / Title]],Lists!A:C,3,FALSE),"")</f>
        <v/>
      </c>
      <c r="K56" s="71">
        <f>StaffPayroll[[#This Row],[Payroll Period Ends Date (Minimum two months)]]-StaffPayroll[[#This Row],[Payroll Period Begins Date        (Must start after 6/1/2025)]]+1</f>
        <v>1</v>
      </c>
      <c r="L56" s="38">
        <f>IFERROR(IF(VLOOKUP(J56,'Facility Info Input'!$B$25:$D$34,3,FALSE)="",1,VLOOKUP(J56,'Facility Info Input'!$B$25:$D$34,3,FALSE)),0)</f>
        <v>0</v>
      </c>
      <c r="M56" s="22" t="str">
        <f>IF(StaffPayroll[[#This Row],[Employee ID Number / Code]]="","",IF(StaffPayroll[[#This Row],[Position / Title]]="","",VLOOKUP(StaffPayroll[[#This Row],[Position / Title]],Lists!A:C,2,FALSE)))</f>
        <v/>
      </c>
      <c r="N56" s="22">
        <f>IF(C56="",0,StaffPayroll[[#This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6" s="31">
        <f>IF(StaffPayroll[[#This Row],[Hourly WSB  Wage Minimum]]="",0,StaffPayroll[[#This Row],[Annual NF Wage Costs after WSB Minimum]]-StaffPayroll[[#This Row],[Annual NF Wage Costs before WSB Minimum]])</f>
        <v>0</v>
      </c>
      <c r="Q56" s="31">
        <f>IFERROR(IF(StaffPayroll[[#This Row],[Annual Cost of Wage Increase included in Rate Adjustment]]=0,0,P56*'Facility Info Input'!$F$10),0)</f>
        <v>0</v>
      </c>
      <c r="R56" s="32">
        <f>IFERROR(IF(StaffPayroll[[#This Row],[Annual Cost of Wage Increase included in Rate Adjustment]]=0,0,IF('Facility Info Input'!$F$11&lt;=0,0,P56*'Facility Info Input'!$F$11)),0)</f>
        <v>0</v>
      </c>
      <c r="S56" s="32">
        <f>IFERROR(IF(StaffPayroll[[#This Row],[Annual Cost of Wage Increase included in Rate Adjustment]]=0,0,IF('Facility Info Input'!$F$12&lt;=0,0,P56*'Facility Info Input'!$F$12)),0)</f>
        <v>0</v>
      </c>
      <c r="T56" s="32">
        <f t="shared" si="0"/>
        <v>0</v>
      </c>
      <c r="U56" s="33">
        <f t="shared" si="1"/>
        <v>0</v>
      </c>
    </row>
    <row r="57" spans="1:21">
      <c r="A57" s="76"/>
      <c r="B57" s="77"/>
      <c r="C57" s="81"/>
      <c r="D57" s="82"/>
      <c r="E57" s="82"/>
      <c r="F57" s="83"/>
      <c r="G57" s="84"/>
      <c r="H57" s="85"/>
      <c r="I57" s="71" t="e">
        <f>#REF!&amp;" "&amp;StaffPayroll[[#This Row],[Employee ID Number / Code]]</f>
        <v>#REF!</v>
      </c>
      <c r="J57" s="71" t="str">
        <f>_xlfn.IFNA(VLOOKUP(StaffPayroll[[#This Row],[Position / Title]],Lists!A:C,3,FALSE),"")</f>
        <v/>
      </c>
      <c r="K57" s="71">
        <f>StaffPayroll[[#This Row],[Payroll Period Ends Date (Minimum two months)]]-StaffPayroll[[#This Row],[Payroll Period Begins Date        (Must start after 6/1/2025)]]+1</f>
        <v>1</v>
      </c>
      <c r="L57" s="38">
        <f>IFERROR(IF(VLOOKUP(J57,'Facility Info Input'!$B$25:$D$34,3,FALSE)="",1,VLOOKUP(J57,'Facility Info Input'!$B$25:$D$34,3,FALSE)),0)</f>
        <v>0</v>
      </c>
      <c r="M57" s="22" t="str">
        <f>IF(StaffPayroll[[#This Row],[Employee ID Number / Code]]="","",IF(StaffPayroll[[#This Row],[Position / Title]]="","",VLOOKUP(StaffPayroll[[#This Row],[Position / Title]],Lists!A:C,2,FALSE)))</f>
        <v/>
      </c>
      <c r="N57" s="22">
        <f>IF(C57="",0,StaffPayroll[[#This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7" s="31">
        <f>IF(StaffPayroll[[#This Row],[Hourly WSB  Wage Minimum]]="",0,StaffPayroll[[#This Row],[Annual NF Wage Costs after WSB Minimum]]-StaffPayroll[[#This Row],[Annual NF Wage Costs before WSB Minimum]])</f>
        <v>0</v>
      </c>
      <c r="Q57" s="31">
        <f>IFERROR(IF(StaffPayroll[[#This Row],[Annual Cost of Wage Increase included in Rate Adjustment]]=0,0,P57*'Facility Info Input'!$F$10),0)</f>
        <v>0</v>
      </c>
      <c r="R57" s="32">
        <f>IFERROR(IF(StaffPayroll[[#This Row],[Annual Cost of Wage Increase included in Rate Adjustment]]=0,0,IF('Facility Info Input'!$F$11&lt;=0,0,P57*'Facility Info Input'!$F$11)),0)</f>
        <v>0</v>
      </c>
      <c r="S57" s="32">
        <f>IFERROR(IF(StaffPayroll[[#This Row],[Annual Cost of Wage Increase included in Rate Adjustment]]=0,0,IF('Facility Info Input'!$F$12&lt;=0,0,P57*'Facility Info Input'!$F$12)),0)</f>
        <v>0</v>
      </c>
      <c r="T57" s="32">
        <f t="shared" si="0"/>
        <v>0</v>
      </c>
      <c r="U57" s="33">
        <f t="shared" si="1"/>
        <v>0</v>
      </c>
    </row>
    <row r="58" spans="1:21">
      <c r="A58" s="76"/>
      <c r="B58" s="77"/>
      <c r="C58" s="81"/>
      <c r="D58" s="82"/>
      <c r="E58" s="82"/>
      <c r="F58" s="83"/>
      <c r="G58" s="84"/>
      <c r="H58" s="85"/>
      <c r="I58" s="71" t="e">
        <f>#REF!&amp;" "&amp;StaffPayroll[[#This Row],[Employee ID Number / Code]]</f>
        <v>#REF!</v>
      </c>
      <c r="J58" s="71" t="str">
        <f>_xlfn.IFNA(VLOOKUP(StaffPayroll[[#This Row],[Position / Title]],Lists!A:C,3,FALSE),"")</f>
        <v/>
      </c>
      <c r="K58" s="71">
        <f>StaffPayroll[[#This Row],[Payroll Period Ends Date (Minimum two months)]]-StaffPayroll[[#This Row],[Payroll Period Begins Date        (Must start after 6/1/2025)]]+1</f>
        <v>1</v>
      </c>
      <c r="L58" s="38">
        <f>IFERROR(IF(VLOOKUP(J58,'Facility Info Input'!$B$25:$D$34,3,FALSE)="",1,VLOOKUP(J58,'Facility Info Input'!$B$25:$D$34,3,FALSE)),0)</f>
        <v>0</v>
      </c>
      <c r="M58" s="22" t="str">
        <f>IF(StaffPayroll[[#This Row],[Employee ID Number / Code]]="","",IF(StaffPayroll[[#This Row],[Position / Title]]="","",VLOOKUP(StaffPayroll[[#This Row],[Position / Title]],Lists!A:C,2,FALSE)))</f>
        <v/>
      </c>
      <c r="N58" s="22">
        <f>IF(C58="",0,StaffPayroll[[#This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8" s="31">
        <f>IF(StaffPayroll[[#This Row],[Hourly WSB  Wage Minimum]]="",0,StaffPayroll[[#This Row],[Annual NF Wage Costs after WSB Minimum]]-StaffPayroll[[#This Row],[Annual NF Wage Costs before WSB Minimum]])</f>
        <v>0</v>
      </c>
      <c r="Q58" s="31">
        <f>IFERROR(IF(StaffPayroll[[#This Row],[Annual Cost of Wage Increase included in Rate Adjustment]]=0,0,P58*'Facility Info Input'!$F$10),0)</f>
        <v>0</v>
      </c>
      <c r="R58" s="32">
        <f>IFERROR(IF(StaffPayroll[[#This Row],[Annual Cost of Wage Increase included in Rate Adjustment]]=0,0,IF('Facility Info Input'!$F$11&lt;=0,0,P58*'Facility Info Input'!$F$11)),0)</f>
        <v>0</v>
      </c>
      <c r="S58" s="32">
        <f>IFERROR(IF(StaffPayroll[[#This Row],[Annual Cost of Wage Increase included in Rate Adjustment]]=0,0,IF('Facility Info Input'!$F$12&lt;=0,0,P58*'Facility Info Input'!$F$12)),0)</f>
        <v>0</v>
      </c>
      <c r="T58" s="32">
        <f t="shared" si="0"/>
        <v>0</v>
      </c>
      <c r="U58" s="33">
        <f t="shared" si="1"/>
        <v>0</v>
      </c>
    </row>
    <row r="59" spans="1:21">
      <c r="A59" s="76"/>
      <c r="B59" s="77"/>
      <c r="C59" s="81"/>
      <c r="D59" s="82"/>
      <c r="E59" s="82"/>
      <c r="F59" s="83"/>
      <c r="G59" s="84"/>
      <c r="H59" s="85"/>
      <c r="I59" s="71" t="e">
        <f>#REF!&amp;" "&amp;StaffPayroll[[#This Row],[Employee ID Number / Code]]</f>
        <v>#REF!</v>
      </c>
      <c r="J59" s="71" t="str">
        <f>_xlfn.IFNA(VLOOKUP(StaffPayroll[[#This Row],[Position / Title]],Lists!A:C,3,FALSE),"")</f>
        <v/>
      </c>
      <c r="K59" s="71">
        <f>StaffPayroll[[#This Row],[Payroll Period Ends Date (Minimum two months)]]-StaffPayroll[[#This Row],[Payroll Period Begins Date        (Must start after 6/1/2025)]]+1</f>
        <v>1</v>
      </c>
      <c r="L59" s="38">
        <f>IFERROR(IF(VLOOKUP(J59,'Facility Info Input'!$B$25:$D$34,3,FALSE)="",1,VLOOKUP(J59,'Facility Info Input'!$B$25:$D$34,3,FALSE)),0)</f>
        <v>0</v>
      </c>
      <c r="M59" s="22" t="str">
        <f>IF(StaffPayroll[[#This Row],[Employee ID Number / Code]]="","",IF(StaffPayroll[[#This Row],[Position / Title]]="","",VLOOKUP(StaffPayroll[[#This Row],[Position / Title]],Lists!A:C,2,FALSE)))</f>
        <v/>
      </c>
      <c r="N59" s="22">
        <f>IF(C59="",0,StaffPayroll[[#This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5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59" s="31">
        <f>IF(StaffPayroll[[#This Row],[Hourly WSB  Wage Minimum]]="",0,StaffPayroll[[#This Row],[Annual NF Wage Costs after WSB Minimum]]-StaffPayroll[[#This Row],[Annual NF Wage Costs before WSB Minimum]])</f>
        <v>0</v>
      </c>
      <c r="Q59" s="31">
        <f>IFERROR(IF(StaffPayroll[[#This Row],[Annual Cost of Wage Increase included in Rate Adjustment]]=0,0,P59*'Facility Info Input'!$F$10),0)</f>
        <v>0</v>
      </c>
      <c r="R59" s="32">
        <f>IFERROR(IF(StaffPayroll[[#This Row],[Annual Cost of Wage Increase included in Rate Adjustment]]=0,0,IF('Facility Info Input'!$F$11&lt;=0,0,P59*'Facility Info Input'!$F$11)),0)</f>
        <v>0</v>
      </c>
      <c r="S59" s="32">
        <f>IFERROR(IF(StaffPayroll[[#This Row],[Annual Cost of Wage Increase included in Rate Adjustment]]=0,0,IF('Facility Info Input'!$F$12&lt;=0,0,P59*'Facility Info Input'!$F$12)),0)</f>
        <v>0</v>
      </c>
      <c r="T59" s="32">
        <f t="shared" si="0"/>
        <v>0</v>
      </c>
      <c r="U59" s="33">
        <f t="shared" si="1"/>
        <v>0</v>
      </c>
    </row>
    <row r="60" spans="1:21">
      <c r="A60" s="76"/>
      <c r="B60" s="77"/>
      <c r="C60" s="81"/>
      <c r="D60" s="82"/>
      <c r="E60" s="82"/>
      <c r="F60" s="83"/>
      <c r="G60" s="84"/>
      <c r="H60" s="85"/>
      <c r="I60" s="71" t="e">
        <f>#REF!&amp;" "&amp;StaffPayroll[[#This Row],[Employee ID Number / Code]]</f>
        <v>#REF!</v>
      </c>
      <c r="J60" s="71" t="str">
        <f>_xlfn.IFNA(VLOOKUP(StaffPayroll[[#This Row],[Position / Title]],Lists!A:C,3,FALSE),"")</f>
        <v/>
      </c>
      <c r="K60" s="71">
        <f>StaffPayroll[[#This Row],[Payroll Period Ends Date (Minimum two months)]]-StaffPayroll[[#This Row],[Payroll Period Begins Date        (Must start after 6/1/2025)]]+1</f>
        <v>1</v>
      </c>
      <c r="L60" s="38">
        <f>IFERROR(IF(VLOOKUP(J60,'Facility Info Input'!$B$25:$D$34,3,FALSE)="",1,VLOOKUP(J60,'Facility Info Input'!$B$25:$D$34,3,FALSE)),0)</f>
        <v>0</v>
      </c>
      <c r="M60" s="22" t="str">
        <f>IF(StaffPayroll[[#This Row],[Employee ID Number / Code]]="","",IF(StaffPayroll[[#This Row],[Position / Title]]="","",VLOOKUP(StaffPayroll[[#This Row],[Position / Title]],Lists!A:C,2,FALSE)))</f>
        <v/>
      </c>
      <c r="N60" s="22">
        <f>IF(C60="",0,StaffPayroll[[#This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0" s="31">
        <f>IF(StaffPayroll[[#This Row],[Hourly WSB  Wage Minimum]]="",0,StaffPayroll[[#This Row],[Annual NF Wage Costs after WSB Minimum]]-StaffPayroll[[#This Row],[Annual NF Wage Costs before WSB Minimum]])</f>
        <v>0</v>
      </c>
      <c r="Q60" s="31">
        <f>IFERROR(IF(StaffPayroll[[#This Row],[Annual Cost of Wage Increase included in Rate Adjustment]]=0,0,P60*'Facility Info Input'!$F$10),0)</f>
        <v>0</v>
      </c>
      <c r="R60" s="32">
        <f>IFERROR(IF(StaffPayroll[[#This Row],[Annual Cost of Wage Increase included in Rate Adjustment]]=0,0,IF('Facility Info Input'!$F$11&lt;=0,0,P60*'Facility Info Input'!$F$11)),0)</f>
        <v>0</v>
      </c>
      <c r="S60" s="32">
        <f>IFERROR(IF(StaffPayroll[[#This Row],[Annual Cost of Wage Increase included in Rate Adjustment]]=0,0,IF('Facility Info Input'!$F$12&lt;=0,0,P60*'Facility Info Input'!$F$12)),0)</f>
        <v>0</v>
      </c>
      <c r="T60" s="32">
        <f t="shared" si="0"/>
        <v>0</v>
      </c>
      <c r="U60" s="33">
        <f t="shared" si="1"/>
        <v>0</v>
      </c>
    </row>
    <row r="61" spans="1:21">
      <c r="A61" s="76"/>
      <c r="B61" s="77"/>
      <c r="C61" s="81"/>
      <c r="D61" s="82"/>
      <c r="E61" s="82"/>
      <c r="F61" s="83"/>
      <c r="G61" s="84"/>
      <c r="H61" s="85"/>
      <c r="I61" s="71" t="e">
        <f>#REF!&amp;" "&amp;StaffPayroll[[#This Row],[Employee ID Number / Code]]</f>
        <v>#REF!</v>
      </c>
      <c r="J61" s="71" t="str">
        <f>_xlfn.IFNA(VLOOKUP(StaffPayroll[[#This Row],[Position / Title]],Lists!A:C,3,FALSE),"")</f>
        <v/>
      </c>
      <c r="K61" s="71">
        <f>StaffPayroll[[#This Row],[Payroll Period Ends Date (Minimum two months)]]-StaffPayroll[[#This Row],[Payroll Period Begins Date        (Must start after 6/1/2025)]]+1</f>
        <v>1</v>
      </c>
      <c r="L61" s="38">
        <f>IFERROR(IF(VLOOKUP(J61,'Facility Info Input'!$B$25:$D$34,3,FALSE)="",1,VLOOKUP(J61,'Facility Info Input'!$B$25:$D$34,3,FALSE)),0)</f>
        <v>0</v>
      </c>
      <c r="M61" s="22" t="str">
        <f>IF(StaffPayroll[[#This Row],[Employee ID Number / Code]]="","",IF(StaffPayroll[[#This Row],[Position / Title]]="","",VLOOKUP(StaffPayroll[[#This Row],[Position / Title]],Lists!A:C,2,FALSE)))</f>
        <v/>
      </c>
      <c r="N61" s="22">
        <f>IF(C61="",0,StaffPayroll[[#This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1" s="31">
        <f>IF(StaffPayroll[[#This Row],[Hourly WSB  Wage Minimum]]="",0,StaffPayroll[[#This Row],[Annual NF Wage Costs after WSB Minimum]]-StaffPayroll[[#This Row],[Annual NF Wage Costs before WSB Minimum]])</f>
        <v>0</v>
      </c>
      <c r="Q61" s="31">
        <f>IFERROR(IF(StaffPayroll[[#This Row],[Annual Cost of Wage Increase included in Rate Adjustment]]=0,0,P61*'Facility Info Input'!$F$10),0)</f>
        <v>0</v>
      </c>
      <c r="R61" s="32">
        <f>IFERROR(IF(StaffPayroll[[#This Row],[Annual Cost of Wage Increase included in Rate Adjustment]]=0,0,IF('Facility Info Input'!$F$11&lt;=0,0,P61*'Facility Info Input'!$F$11)),0)</f>
        <v>0</v>
      </c>
      <c r="S61" s="32">
        <f>IFERROR(IF(StaffPayroll[[#This Row],[Annual Cost of Wage Increase included in Rate Adjustment]]=0,0,IF('Facility Info Input'!$F$12&lt;=0,0,P61*'Facility Info Input'!$F$12)),0)</f>
        <v>0</v>
      </c>
      <c r="T61" s="32">
        <f t="shared" si="0"/>
        <v>0</v>
      </c>
      <c r="U61" s="33">
        <f t="shared" si="1"/>
        <v>0</v>
      </c>
    </row>
    <row r="62" spans="1:21">
      <c r="A62" s="76"/>
      <c r="B62" s="77"/>
      <c r="C62" s="81"/>
      <c r="D62" s="82"/>
      <c r="E62" s="82"/>
      <c r="F62" s="83"/>
      <c r="G62" s="84"/>
      <c r="H62" s="85"/>
      <c r="I62" s="71" t="e">
        <f>#REF!&amp;" "&amp;StaffPayroll[[#This Row],[Employee ID Number / Code]]</f>
        <v>#REF!</v>
      </c>
      <c r="J62" s="71" t="str">
        <f>_xlfn.IFNA(VLOOKUP(StaffPayroll[[#This Row],[Position / Title]],Lists!A:C,3,FALSE),"")</f>
        <v/>
      </c>
      <c r="K62" s="71">
        <f>StaffPayroll[[#This Row],[Payroll Period Ends Date (Minimum two months)]]-StaffPayroll[[#This Row],[Payroll Period Begins Date        (Must start after 6/1/2025)]]+1</f>
        <v>1</v>
      </c>
      <c r="L62" s="38">
        <f>IFERROR(IF(VLOOKUP(J62,'Facility Info Input'!$B$25:$D$34,3,FALSE)="",1,VLOOKUP(J62,'Facility Info Input'!$B$25:$D$34,3,FALSE)),0)</f>
        <v>0</v>
      </c>
      <c r="M62" s="22" t="str">
        <f>IF(StaffPayroll[[#This Row],[Employee ID Number / Code]]="","",IF(StaffPayroll[[#This Row],[Position / Title]]="","",VLOOKUP(StaffPayroll[[#This Row],[Position / Title]],Lists!A:C,2,FALSE)))</f>
        <v/>
      </c>
      <c r="N62" s="22">
        <f>IF(C62="",0,StaffPayroll[[#This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2" s="31">
        <f>IF(StaffPayroll[[#This Row],[Hourly WSB  Wage Minimum]]="",0,StaffPayroll[[#This Row],[Annual NF Wage Costs after WSB Minimum]]-StaffPayroll[[#This Row],[Annual NF Wage Costs before WSB Minimum]])</f>
        <v>0</v>
      </c>
      <c r="Q62" s="31">
        <f>IFERROR(IF(StaffPayroll[[#This Row],[Annual Cost of Wage Increase included in Rate Adjustment]]=0,0,P62*'Facility Info Input'!$F$10),0)</f>
        <v>0</v>
      </c>
      <c r="R62" s="32">
        <f>IFERROR(IF(StaffPayroll[[#This Row],[Annual Cost of Wage Increase included in Rate Adjustment]]=0,0,IF('Facility Info Input'!$F$11&lt;=0,0,P62*'Facility Info Input'!$F$11)),0)</f>
        <v>0</v>
      </c>
      <c r="S62" s="32">
        <f>IFERROR(IF(StaffPayroll[[#This Row],[Annual Cost of Wage Increase included in Rate Adjustment]]=0,0,IF('Facility Info Input'!$F$12&lt;=0,0,P62*'Facility Info Input'!$F$12)),0)</f>
        <v>0</v>
      </c>
      <c r="T62" s="32">
        <f t="shared" si="0"/>
        <v>0</v>
      </c>
      <c r="U62" s="33">
        <f t="shared" si="1"/>
        <v>0</v>
      </c>
    </row>
    <row r="63" spans="1:21">
      <c r="A63" s="76"/>
      <c r="B63" s="77"/>
      <c r="C63" s="81"/>
      <c r="D63" s="82"/>
      <c r="E63" s="82"/>
      <c r="F63" s="83"/>
      <c r="G63" s="84"/>
      <c r="H63" s="85"/>
      <c r="I63" s="71" t="e">
        <f>#REF!&amp;" "&amp;StaffPayroll[[#This Row],[Employee ID Number / Code]]</f>
        <v>#REF!</v>
      </c>
      <c r="J63" s="71" t="str">
        <f>_xlfn.IFNA(VLOOKUP(StaffPayroll[[#This Row],[Position / Title]],Lists!A:C,3,FALSE),"")</f>
        <v/>
      </c>
      <c r="K63" s="71">
        <f>StaffPayroll[[#This Row],[Payroll Period Ends Date (Minimum two months)]]-StaffPayroll[[#This Row],[Payroll Period Begins Date        (Must start after 6/1/2025)]]+1</f>
        <v>1</v>
      </c>
      <c r="L63" s="38">
        <f>IFERROR(IF(VLOOKUP(J63,'Facility Info Input'!$B$25:$D$34,3,FALSE)="",1,VLOOKUP(J63,'Facility Info Input'!$B$25:$D$34,3,FALSE)),0)</f>
        <v>0</v>
      </c>
      <c r="M63" s="22" t="str">
        <f>IF(StaffPayroll[[#This Row],[Employee ID Number / Code]]="","",IF(StaffPayroll[[#This Row],[Position / Title]]="","",VLOOKUP(StaffPayroll[[#This Row],[Position / Title]],Lists!A:C,2,FALSE)))</f>
        <v/>
      </c>
      <c r="N63" s="22">
        <f>IF(C63="",0,StaffPayroll[[#This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3" s="31">
        <f>IF(StaffPayroll[[#This Row],[Hourly WSB  Wage Minimum]]="",0,StaffPayroll[[#This Row],[Annual NF Wage Costs after WSB Minimum]]-StaffPayroll[[#This Row],[Annual NF Wage Costs before WSB Minimum]])</f>
        <v>0</v>
      </c>
      <c r="Q63" s="31">
        <f>IFERROR(IF(StaffPayroll[[#This Row],[Annual Cost of Wage Increase included in Rate Adjustment]]=0,0,P63*'Facility Info Input'!$F$10),0)</f>
        <v>0</v>
      </c>
      <c r="R63" s="32">
        <f>IFERROR(IF(StaffPayroll[[#This Row],[Annual Cost of Wage Increase included in Rate Adjustment]]=0,0,IF('Facility Info Input'!$F$11&lt;=0,0,P63*'Facility Info Input'!$F$11)),0)</f>
        <v>0</v>
      </c>
      <c r="S63" s="32">
        <f>IFERROR(IF(StaffPayroll[[#This Row],[Annual Cost of Wage Increase included in Rate Adjustment]]=0,0,IF('Facility Info Input'!$F$12&lt;=0,0,P63*'Facility Info Input'!$F$12)),0)</f>
        <v>0</v>
      </c>
      <c r="T63" s="32">
        <f t="shared" si="0"/>
        <v>0</v>
      </c>
      <c r="U63" s="33">
        <f t="shared" si="1"/>
        <v>0</v>
      </c>
    </row>
    <row r="64" spans="1:21">
      <c r="A64" s="76"/>
      <c r="B64" s="77"/>
      <c r="C64" s="81"/>
      <c r="D64" s="82"/>
      <c r="E64" s="82"/>
      <c r="F64" s="83"/>
      <c r="G64" s="84"/>
      <c r="H64" s="85"/>
      <c r="I64" s="71" t="e">
        <f>#REF!&amp;" "&amp;StaffPayroll[[#This Row],[Employee ID Number / Code]]</f>
        <v>#REF!</v>
      </c>
      <c r="J64" s="71" t="str">
        <f>_xlfn.IFNA(VLOOKUP(StaffPayroll[[#This Row],[Position / Title]],Lists!A:C,3,FALSE),"")</f>
        <v/>
      </c>
      <c r="K64" s="71">
        <f>StaffPayroll[[#This Row],[Payroll Period Ends Date (Minimum two months)]]-StaffPayroll[[#This Row],[Payroll Period Begins Date        (Must start after 6/1/2025)]]+1</f>
        <v>1</v>
      </c>
      <c r="L64" s="38">
        <f>IFERROR(IF(VLOOKUP(J64,'Facility Info Input'!$B$25:$D$34,3,FALSE)="",1,VLOOKUP(J64,'Facility Info Input'!$B$25:$D$34,3,FALSE)),0)</f>
        <v>0</v>
      </c>
      <c r="M64" s="22" t="str">
        <f>IF(StaffPayroll[[#This Row],[Employee ID Number / Code]]="","",IF(StaffPayroll[[#This Row],[Position / Title]]="","",VLOOKUP(StaffPayroll[[#This Row],[Position / Title]],Lists!A:C,2,FALSE)))</f>
        <v/>
      </c>
      <c r="N64" s="22">
        <f>IF(C64="",0,StaffPayroll[[#This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4" s="31">
        <f>IF(StaffPayroll[[#This Row],[Hourly WSB  Wage Minimum]]="",0,StaffPayroll[[#This Row],[Annual NF Wage Costs after WSB Minimum]]-StaffPayroll[[#This Row],[Annual NF Wage Costs before WSB Minimum]])</f>
        <v>0</v>
      </c>
      <c r="Q64" s="31">
        <f>IFERROR(IF(StaffPayroll[[#This Row],[Annual Cost of Wage Increase included in Rate Adjustment]]=0,0,P64*'Facility Info Input'!$F$10),0)</f>
        <v>0</v>
      </c>
      <c r="R64" s="32">
        <f>IFERROR(IF(StaffPayroll[[#This Row],[Annual Cost of Wage Increase included in Rate Adjustment]]=0,0,IF('Facility Info Input'!$F$11&lt;=0,0,P64*'Facility Info Input'!$F$11)),0)</f>
        <v>0</v>
      </c>
      <c r="S64" s="32">
        <f>IFERROR(IF(StaffPayroll[[#This Row],[Annual Cost of Wage Increase included in Rate Adjustment]]=0,0,IF('Facility Info Input'!$F$12&lt;=0,0,P64*'Facility Info Input'!$F$12)),0)</f>
        <v>0</v>
      </c>
      <c r="T64" s="32">
        <f t="shared" si="0"/>
        <v>0</v>
      </c>
      <c r="U64" s="33">
        <f t="shared" si="1"/>
        <v>0</v>
      </c>
    </row>
    <row r="65" spans="1:21">
      <c r="A65" s="76"/>
      <c r="B65" s="77"/>
      <c r="C65" s="81"/>
      <c r="D65" s="82"/>
      <c r="E65" s="82"/>
      <c r="F65" s="83"/>
      <c r="G65" s="84"/>
      <c r="H65" s="85"/>
      <c r="I65" s="71" t="e">
        <f>#REF!&amp;" "&amp;StaffPayroll[[#This Row],[Employee ID Number / Code]]</f>
        <v>#REF!</v>
      </c>
      <c r="J65" s="71" t="str">
        <f>_xlfn.IFNA(VLOOKUP(StaffPayroll[[#This Row],[Position / Title]],Lists!A:C,3,FALSE),"")</f>
        <v/>
      </c>
      <c r="K65" s="71">
        <f>StaffPayroll[[#This Row],[Payroll Period Ends Date (Minimum two months)]]-StaffPayroll[[#This Row],[Payroll Period Begins Date        (Must start after 6/1/2025)]]+1</f>
        <v>1</v>
      </c>
      <c r="L65" s="38">
        <f>IFERROR(IF(VLOOKUP(J65,'Facility Info Input'!$B$25:$D$34,3,FALSE)="",1,VLOOKUP(J65,'Facility Info Input'!$B$25:$D$34,3,FALSE)),0)</f>
        <v>0</v>
      </c>
      <c r="M65" s="22" t="str">
        <f>IF(StaffPayroll[[#This Row],[Employee ID Number / Code]]="","",IF(StaffPayroll[[#This Row],[Position / Title]]="","",VLOOKUP(StaffPayroll[[#This Row],[Position / Title]],Lists!A:C,2,FALSE)))</f>
        <v/>
      </c>
      <c r="N65" s="22">
        <f>IF(C65="",0,StaffPayroll[[#This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5" s="31">
        <f>IF(StaffPayroll[[#This Row],[Hourly WSB  Wage Minimum]]="",0,StaffPayroll[[#This Row],[Annual NF Wage Costs after WSB Minimum]]-StaffPayroll[[#This Row],[Annual NF Wage Costs before WSB Minimum]])</f>
        <v>0</v>
      </c>
      <c r="Q65" s="31">
        <f>IFERROR(IF(StaffPayroll[[#This Row],[Annual Cost of Wage Increase included in Rate Adjustment]]=0,0,P65*'Facility Info Input'!$F$10),0)</f>
        <v>0</v>
      </c>
      <c r="R65" s="32">
        <f>IFERROR(IF(StaffPayroll[[#This Row],[Annual Cost of Wage Increase included in Rate Adjustment]]=0,0,IF('Facility Info Input'!$F$11&lt;=0,0,P65*'Facility Info Input'!$F$11)),0)</f>
        <v>0</v>
      </c>
      <c r="S65" s="32">
        <f>IFERROR(IF(StaffPayroll[[#This Row],[Annual Cost of Wage Increase included in Rate Adjustment]]=0,0,IF('Facility Info Input'!$F$12&lt;=0,0,P65*'Facility Info Input'!$F$12)),0)</f>
        <v>0</v>
      </c>
      <c r="T65" s="32">
        <f t="shared" si="0"/>
        <v>0</v>
      </c>
      <c r="U65" s="33">
        <f t="shared" si="1"/>
        <v>0</v>
      </c>
    </row>
    <row r="66" spans="1:21">
      <c r="A66" s="76"/>
      <c r="B66" s="77"/>
      <c r="C66" s="81"/>
      <c r="D66" s="82"/>
      <c r="E66" s="82"/>
      <c r="F66" s="83"/>
      <c r="G66" s="84"/>
      <c r="H66" s="85"/>
      <c r="I66" s="71" t="e">
        <f>#REF!&amp;" "&amp;StaffPayroll[[#This Row],[Employee ID Number / Code]]</f>
        <v>#REF!</v>
      </c>
      <c r="J66" s="71" t="str">
        <f>_xlfn.IFNA(VLOOKUP(StaffPayroll[[#This Row],[Position / Title]],Lists!A:C,3,FALSE),"")</f>
        <v/>
      </c>
      <c r="K66" s="71">
        <f>StaffPayroll[[#This Row],[Payroll Period Ends Date (Minimum two months)]]-StaffPayroll[[#This Row],[Payroll Period Begins Date        (Must start after 6/1/2025)]]+1</f>
        <v>1</v>
      </c>
      <c r="L66" s="38">
        <f>IFERROR(IF(VLOOKUP(J66,'Facility Info Input'!$B$25:$D$34,3,FALSE)="",1,VLOOKUP(J66,'Facility Info Input'!$B$25:$D$34,3,FALSE)),0)</f>
        <v>0</v>
      </c>
      <c r="M66" s="22" t="str">
        <f>IF(StaffPayroll[[#This Row],[Employee ID Number / Code]]="","",IF(StaffPayroll[[#This Row],[Position / Title]]="","",VLOOKUP(StaffPayroll[[#This Row],[Position / Title]],Lists!A:C,2,FALSE)))</f>
        <v/>
      </c>
      <c r="N66" s="22">
        <f>IF(C66="",0,StaffPayroll[[#This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6" s="31">
        <f>IF(StaffPayroll[[#This Row],[Hourly WSB  Wage Minimum]]="",0,StaffPayroll[[#This Row],[Annual NF Wage Costs after WSB Minimum]]-StaffPayroll[[#This Row],[Annual NF Wage Costs before WSB Minimum]])</f>
        <v>0</v>
      </c>
      <c r="Q66" s="31">
        <f>IFERROR(IF(StaffPayroll[[#This Row],[Annual Cost of Wage Increase included in Rate Adjustment]]=0,0,P66*'Facility Info Input'!$F$10),0)</f>
        <v>0</v>
      </c>
      <c r="R66" s="32">
        <f>IFERROR(IF(StaffPayroll[[#This Row],[Annual Cost of Wage Increase included in Rate Adjustment]]=0,0,IF('Facility Info Input'!$F$11&lt;=0,0,P66*'Facility Info Input'!$F$11)),0)</f>
        <v>0</v>
      </c>
      <c r="S66" s="32">
        <f>IFERROR(IF(StaffPayroll[[#This Row],[Annual Cost of Wage Increase included in Rate Adjustment]]=0,0,IF('Facility Info Input'!$F$12&lt;=0,0,P66*'Facility Info Input'!$F$12)),0)</f>
        <v>0</v>
      </c>
      <c r="T66" s="32">
        <f t="shared" ref="T66:T129" si="2">IFERROR(IF(G66="Yes",H66*P66,0),0)</f>
        <v>0</v>
      </c>
      <c r="U66" s="33">
        <f t="shared" si="1"/>
        <v>0</v>
      </c>
    </row>
    <row r="67" spans="1:21">
      <c r="A67" s="76"/>
      <c r="B67" s="77"/>
      <c r="C67" s="81"/>
      <c r="D67" s="82"/>
      <c r="E67" s="82"/>
      <c r="F67" s="83"/>
      <c r="G67" s="84"/>
      <c r="H67" s="85"/>
      <c r="I67" s="71" t="e">
        <f>#REF!&amp;" "&amp;StaffPayroll[[#This Row],[Employee ID Number / Code]]</f>
        <v>#REF!</v>
      </c>
      <c r="J67" s="71" t="str">
        <f>_xlfn.IFNA(VLOOKUP(StaffPayroll[[#This Row],[Position / Title]],Lists!A:C,3,FALSE),"")</f>
        <v/>
      </c>
      <c r="K67" s="71">
        <f>StaffPayroll[[#This Row],[Payroll Period Ends Date (Minimum two months)]]-StaffPayroll[[#This Row],[Payroll Period Begins Date        (Must start after 6/1/2025)]]+1</f>
        <v>1</v>
      </c>
      <c r="L67" s="38">
        <f>IFERROR(IF(VLOOKUP(J67,'Facility Info Input'!$B$25:$D$34,3,FALSE)="",1,VLOOKUP(J67,'Facility Info Input'!$B$25:$D$34,3,FALSE)),0)</f>
        <v>0</v>
      </c>
      <c r="M67" s="22" t="str">
        <f>IF(StaffPayroll[[#This Row],[Employee ID Number / Code]]="","",IF(StaffPayroll[[#This Row],[Position / Title]]="","",VLOOKUP(StaffPayroll[[#This Row],[Position / Title]],Lists!A:C,2,FALSE)))</f>
        <v/>
      </c>
      <c r="N67" s="22">
        <f>IF(C67="",0,StaffPayroll[[#This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7" s="31">
        <f>IF(StaffPayroll[[#This Row],[Hourly WSB  Wage Minimum]]="",0,StaffPayroll[[#This Row],[Annual NF Wage Costs after WSB Minimum]]-StaffPayroll[[#This Row],[Annual NF Wage Costs before WSB Minimum]])</f>
        <v>0</v>
      </c>
      <c r="Q67" s="31">
        <f>IFERROR(IF(StaffPayroll[[#This Row],[Annual Cost of Wage Increase included in Rate Adjustment]]=0,0,P67*'Facility Info Input'!$F$10),0)</f>
        <v>0</v>
      </c>
      <c r="R67" s="32">
        <f>IFERROR(IF(StaffPayroll[[#This Row],[Annual Cost of Wage Increase included in Rate Adjustment]]=0,0,IF('Facility Info Input'!$F$11&lt;=0,0,P67*'Facility Info Input'!$F$11)),0)</f>
        <v>0</v>
      </c>
      <c r="S67" s="32">
        <f>IFERROR(IF(StaffPayroll[[#This Row],[Annual Cost of Wage Increase included in Rate Adjustment]]=0,0,IF('Facility Info Input'!$F$12&lt;=0,0,P67*'Facility Info Input'!$F$12)),0)</f>
        <v>0</v>
      </c>
      <c r="T67" s="32">
        <f t="shared" si="2"/>
        <v>0</v>
      </c>
      <c r="U67" s="33">
        <f t="shared" ref="U67:U130" si="3">IFERROR(SUM(P67:T67),0)</f>
        <v>0</v>
      </c>
    </row>
    <row r="68" spans="1:21">
      <c r="A68" s="76"/>
      <c r="B68" s="77"/>
      <c r="C68" s="81"/>
      <c r="D68" s="82"/>
      <c r="E68" s="82"/>
      <c r="F68" s="83"/>
      <c r="G68" s="84"/>
      <c r="H68" s="85"/>
      <c r="I68" s="71" t="e">
        <f>#REF!&amp;" "&amp;StaffPayroll[[#This Row],[Employee ID Number / Code]]</f>
        <v>#REF!</v>
      </c>
      <c r="J68" s="71" t="str">
        <f>_xlfn.IFNA(VLOOKUP(StaffPayroll[[#This Row],[Position / Title]],Lists!A:C,3,FALSE),"")</f>
        <v/>
      </c>
      <c r="K68" s="71">
        <f>StaffPayroll[[#This Row],[Payroll Period Ends Date (Minimum two months)]]-StaffPayroll[[#This Row],[Payroll Period Begins Date        (Must start after 6/1/2025)]]+1</f>
        <v>1</v>
      </c>
      <c r="L68" s="38">
        <f>IFERROR(IF(VLOOKUP(J68,'Facility Info Input'!$B$25:$D$34,3,FALSE)="",1,VLOOKUP(J68,'Facility Info Input'!$B$25:$D$34,3,FALSE)),0)</f>
        <v>0</v>
      </c>
      <c r="M68" s="22" t="str">
        <f>IF(StaffPayroll[[#This Row],[Employee ID Number / Code]]="","",IF(StaffPayroll[[#This Row],[Position / Title]]="","",VLOOKUP(StaffPayroll[[#This Row],[Position / Title]],Lists!A:C,2,FALSE)))</f>
        <v/>
      </c>
      <c r="N68" s="22">
        <f>IF(C68="",0,StaffPayroll[[#This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8" s="31">
        <f>IF(StaffPayroll[[#This Row],[Hourly WSB  Wage Minimum]]="",0,StaffPayroll[[#This Row],[Annual NF Wage Costs after WSB Minimum]]-StaffPayroll[[#This Row],[Annual NF Wage Costs before WSB Minimum]])</f>
        <v>0</v>
      </c>
      <c r="Q68" s="31">
        <f>IFERROR(IF(StaffPayroll[[#This Row],[Annual Cost of Wage Increase included in Rate Adjustment]]=0,0,P68*'Facility Info Input'!$F$10),0)</f>
        <v>0</v>
      </c>
      <c r="R68" s="32">
        <f>IFERROR(IF(StaffPayroll[[#This Row],[Annual Cost of Wage Increase included in Rate Adjustment]]=0,0,IF('Facility Info Input'!$F$11&lt;=0,0,P68*'Facility Info Input'!$F$11)),0)</f>
        <v>0</v>
      </c>
      <c r="S68" s="32">
        <f>IFERROR(IF(StaffPayroll[[#This Row],[Annual Cost of Wage Increase included in Rate Adjustment]]=0,0,IF('Facility Info Input'!$F$12&lt;=0,0,P68*'Facility Info Input'!$F$12)),0)</f>
        <v>0</v>
      </c>
      <c r="T68" s="32">
        <f t="shared" si="2"/>
        <v>0</v>
      </c>
      <c r="U68" s="33">
        <f t="shared" si="3"/>
        <v>0</v>
      </c>
    </row>
    <row r="69" spans="1:21">
      <c r="A69" s="76"/>
      <c r="B69" s="77"/>
      <c r="C69" s="81"/>
      <c r="D69" s="82"/>
      <c r="E69" s="82"/>
      <c r="F69" s="83"/>
      <c r="G69" s="84"/>
      <c r="H69" s="85"/>
      <c r="I69" s="71" t="e">
        <f>#REF!&amp;" "&amp;StaffPayroll[[#This Row],[Employee ID Number / Code]]</f>
        <v>#REF!</v>
      </c>
      <c r="J69" s="71" t="str">
        <f>_xlfn.IFNA(VLOOKUP(StaffPayroll[[#This Row],[Position / Title]],Lists!A:C,3,FALSE),"")</f>
        <v/>
      </c>
      <c r="K69" s="71">
        <f>StaffPayroll[[#This Row],[Payroll Period Ends Date (Minimum two months)]]-StaffPayroll[[#This Row],[Payroll Period Begins Date        (Must start after 6/1/2025)]]+1</f>
        <v>1</v>
      </c>
      <c r="L69" s="38">
        <f>IFERROR(IF(VLOOKUP(J69,'Facility Info Input'!$B$25:$D$34,3,FALSE)="",1,VLOOKUP(J69,'Facility Info Input'!$B$25:$D$34,3,FALSE)),0)</f>
        <v>0</v>
      </c>
      <c r="M69" s="22" t="str">
        <f>IF(StaffPayroll[[#This Row],[Employee ID Number / Code]]="","",IF(StaffPayroll[[#This Row],[Position / Title]]="","",VLOOKUP(StaffPayroll[[#This Row],[Position / Title]],Lists!A:C,2,FALSE)))</f>
        <v/>
      </c>
      <c r="N69" s="22">
        <f>IF(C69="",0,StaffPayroll[[#This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6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69" s="31">
        <f>IF(StaffPayroll[[#This Row],[Hourly WSB  Wage Minimum]]="",0,StaffPayroll[[#This Row],[Annual NF Wage Costs after WSB Minimum]]-StaffPayroll[[#This Row],[Annual NF Wage Costs before WSB Minimum]])</f>
        <v>0</v>
      </c>
      <c r="Q69" s="31">
        <f>IFERROR(IF(StaffPayroll[[#This Row],[Annual Cost of Wage Increase included in Rate Adjustment]]=0,0,P69*'Facility Info Input'!$F$10),0)</f>
        <v>0</v>
      </c>
      <c r="R69" s="32">
        <f>IFERROR(IF(StaffPayroll[[#This Row],[Annual Cost of Wage Increase included in Rate Adjustment]]=0,0,IF('Facility Info Input'!$F$11&lt;=0,0,P69*'Facility Info Input'!$F$11)),0)</f>
        <v>0</v>
      </c>
      <c r="S69" s="32">
        <f>IFERROR(IF(StaffPayroll[[#This Row],[Annual Cost of Wage Increase included in Rate Adjustment]]=0,0,IF('Facility Info Input'!$F$12&lt;=0,0,P69*'Facility Info Input'!$F$12)),0)</f>
        <v>0</v>
      </c>
      <c r="T69" s="32">
        <f t="shared" si="2"/>
        <v>0</v>
      </c>
      <c r="U69" s="33">
        <f t="shared" si="3"/>
        <v>0</v>
      </c>
    </row>
    <row r="70" spans="1:21">
      <c r="A70" s="76"/>
      <c r="B70" s="77"/>
      <c r="C70" s="81"/>
      <c r="D70" s="82"/>
      <c r="E70" s="82"/>
      <c r="F70" s="83"/>
      <c r="G70" s="84"/>
      <c r="H70" s="85"/>
      <c r="I70" s="71" t="e">
        <f>#REF!&amp;" "&amp;StaffPayroll[[#This Row],[Employee ID Number / Code]]</f>
        <v>#REF!</v>
      </c>
      <c r="J70" s="71" t="str">
        <f>_xlfn.IFNA(VLOOKUP(StaffPayroll[[#This Row],[Position / Title]],Lists!A:C,3,FALSE),"")</f>
        <v/>
      </c>
      <c r="K70" s="71">
        <f>StaffPayroll[[#This Row],[Payroll Period Ends Date (Minimum two months)]]-StaffPayroll[[#This Row],[Payroll Period Begins Date        (Must start after 6/1/2025)]]+1</f>
        <v>1</v>
      </c>
      <c r="L70" s="38">
        <f>IFERROR(IF(VLOOKUP(J70,'Facility Info Input'!$B$25:$D$34,3,FALSE)="",1,VLOOKUP(J70,'Facility Info Input'!$B$25:$D$34,3,FALSE)),0)</f>
        <v>0</v>
      </c>
      <c r="M70" s="22" t="str">
        <f>IF(StaffPayroll[[#This Row],[Employee ID Number / Code]]="","",IF(StaffPayroll[[#This Row],[Position / Title]]="","",VLOOKUP(StaffPayroll[[#This Row],[Position / Title]],Lists!A:C,2,FALSE)))</f>
        <v/>
      </c>
      <c r="N70" s="22">
        <f>IF(C70="",0,StaffPayroll[[#This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0" s="31">
        <f>IF(StaffPayroll[[#This Row],[Hourly WSB  Wage Minimum]]="",0,StaffPayroll[[#This Row],[Annual NF Wage Costs after WSB Minimum]]-StaffPayroll[[#This Row],[Annual NF Wage Costs before WSB Minimum]])</f>
        <v>0</v>
      </c>
      <c r="Q70" s="31">
        <f>IFERROR(IF(StaffPayroll[[#This Row],[Annual Cost of Wage Increase included in Rate Adjustment]]=0,0,P70*'Facility Info Input'!$F$10),0)</f>
        <v>0</v>
      </c>
      <c r="R70" s="32">
        <f>IFERROR(IF(StaffPayroll[[#This Row],[Annual Cost of Wage Increase included in Rate Adjustment]]=0,0,IF('Facility Info Input'!$F$11&lt;=0,0,P70*'Facility Info Input'!$F$11)),0)</f>
        <v>0</v>
      </c>
      <c r="S70" s="32">
        <f>IFERROR(IF(StaffPayroll[[#This Row],[Annual Cost of Wage Increase included in Rate Adjustment]]=0,0,IF('Facility Info Input'!$F$12&lt;=0,0,P70*'Facility Info Input'!$F$12)),0)</f>
        <v>0</v>
      </c>
      <c r="T70" s="32">
        <f t="shared" si="2"/>
        <v>0</v>
      </c>
      <c r="U70" s="33">
        <f t="shared" si="3"/>
        <v>0</v>
      </c>
    </row>
    <row r="71" spans="1:21">
      <c r="A71" s="76"/>
      <c r="B71" s="77"/>
      <c r="C71" s="81"/>
      <c r="D71" s="82"/>
      <c r="E71" s="82"/>
      <c r="F71" s="83"/>
      <c r="G71" s="84"/>
      <c r="H71" s="85"/>
      <c r="I71" s="71" t="e">
        <f>#REF!&amp;" "&amp;StaffPayroll[[#This Row],[Employee ID Number / Code]]</f>
        <v>#REF!</v>
      </c>
      <c r="J71" s="71" t="str">
        <f>_xlfn.IFNA(VLOOKUP(StaffPayroll[[#This Row],[Position / Title]],Lists!A:C,3,FALSE),"")</f>
        <v/>
      </c>
      <c r="K71" s="71">
        <f>StaffPayroll[[#This Row],[Payroll Period Ends Date (Minimum two months)]]-StaffPayroll[[#This Row],[Payroll Period Begins Date        (Must start after 6/1/2025)]]+1</f>
        <v>1</v>
      </c>
      <c r="L71" s="38">
        <f>IFERROR(IF(VLOOKUP(J71,'Facility Info Input'!$B$25:$D$34,3,FALSE)="",1,VLOOKUP(J71,'Facility Info Input'!$B$25:$D$34,3,FALSE)),0)</f>
        <v>0</v>
      </c>
      <c r="M71" s="22" t="str">
        <f>IF(StaffPayroll[[#This Row],[Employee ID Number / Code]]="","",IF(StaffPayroll[[#This Row],[Position / Title]]="","",VLOOKUP(StaffPayroll[[#This Row],[Position / Title]],Lists!A:C,2,FALSE)))</f>
        <v/>
      </c>
      <c r="N71" s="22">
        <f>IF(C71="",0,StaffPayroll[[#This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1" s="31">
        <f>IF(StaffPayroll[[#This Row],[Hourly WSB  Wage Minimum]]="",0,StaffPayroll[[#This Row],[Annual NF Wage Costs after WSB Minimum]]-StaffPayroll[[#This Row],[Annual NF Wage Costs before WSB Minimum]])</f>
        <v>0</v>
      </c>
      <c r="Q71" s="31">
        <f>IFERROR(IF(StaffPayroll[[#This Row],[Annual Cost of Wage Increase included in Rate Adjustment]]=0,0,P71*'Facility Info Input'!$F$10),0)</f>
        <v>0</v>
      </c>
      <c r="R71" s="32">
        <f>IFERROR(IF(StaffPayroll[[#This Row],[Annual Cost of Wage Increase included in Rate Adjustment]]=0,0,IF('Facility Info Input'!$F$11&lt;=0,0,P71*'Facility Info Input'!$F$11)),0)</f>
        <v>0</v>
      </c>
      <c r="S71" s="32">
        <f>IFERROR(IF(StaffPayroll[[#This Row],[Annual Cost of Wage Increase included in Rate Adjustment]]=0,0,IF('Facility Info Input'!$F$12&lt;=0,0,P71*'Facility Info Input'!$F$12)),0)</f>
        <v>0</v>
      </c>
      <c r="T71" s="32">
        <f t="shared" si="2"/>
        <v>0</v>
      </c>
      <c r="U71" s="33">
        <f t="shared" si="3"/>
        <v>0</v>
      </c>
    </row>
    <row r="72" spans="1:21">
      <c r="A72" s="76"/>
      <c r="B72" s="77"/>
      <c r="C72" s="81"/>
      <c r="D72" s="82"/>
      <c r="E72" s="82"/>
      <c r="F72" s="83"/>
      <c r="G72" s="84"/>
      <c r="H72" s="85"/>
      <c r="I72" s="71" t="e">
        <f>#REF!&amp;" "&amp;StaffPayroll[[#This Row],[Employee ID Number / Code]]</f>
        <v>#REF!</v>
      </c>
      <c r="J72" s="71" t="str">
        <f>_xlfn.IFNA(VLOOKUP(StaffPayroll[[#This Row],[Position / Title]],Lists!A:C,3,FALSE),"")</f>
        <v/>
      </c>
      <c r="K72" s="71">
        <f>StaffPayroll[[#This Row],[Payroll Period Ends Date (Minimum two months)]]-StaffPayroll[[#This Row],[Payroll Period Begins Date        (Must start after 6/1/2025)]]+1</f>
        <v>1</v>
      </c>
      <c r="L72" s="38">
        <f>IFERROR(IF(VLOOKUP(J72,'Facility Info Input'!$B$25:$D$34,3,FALSE)="",1,VLOOKUP(J72,'Facility Info Input'!$B$25:$D$34,3,FALSE)),0)</f>
        <v>0</v>
      </c>
      <c r="M72" s="22" t="str">
        <f>IF(StaffPayroll[[#This Row],[Employee ID Number / Code]]="","",IF(StaffPayroll[[#This Row],[Position / Title]]="","",VLOOKUP(StaffPayroll[[#This Row],[Position / Title]],Lists!A:C,2,FALSE)))</f>
        <v/>
      </c>
      <c r="N72" s="22">
        <f>IF(C72="",0,StaffPayroll[[#This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2" s="31">
        <f>IF(StaffPayroll[[#This Row],[Hourly WSB  Wage Minimum]]="",0,StaffPayroll[[#This Row],[Annual NF Wage Costs after WSB Minimum]]-StaffPayroll[[#This Row],[Annual NF Wage Costs before WSB Minimum]])</f>
        <v>0</v>
      </c>
      <c r="Q72" s="31">
        <f>IFERROR(IF(StaffPayroll[[#This Row],[Annual Cost of Wage Increase included in Rate Adjustment]]=0,0,P72*'Facility Info Input'!$F$10),0)</f>
        <v>0</v>
      </c>
      <c r="R72" s="32">
        <f>IFERROR(IF(StaffPayroll[[#This Row],[Annual Cost of Wage Increase included in Rate Adjustment]]=0,0,IF('Facility Info Input'!$F$11&lt;=0,0,P72*'Facility Info Input'!$F$11)),0)</f>
        <v>0</v>
      </c>
      <c r="S72" s="32">
        <f>IFERROR(IF(StaffPayroll[[#This Row],[Annual Cost of Wage Increase included in Rate Adjustment]]=0,0,IF('Facility Info Input'!$F$12&lt;=0,0,P72*'Facility Info Input'!$F$12)),0)</f>
        <v>0</v>
      </c>
      <c r="T72" s="32">
        <f t="shared" si="2"/>
        <v>0</v>
      </c>
      <c r="U72" s="33">
        <f t="shared" si="3"/>
        <v>0</v>
      </c>
    </row>
    <row r="73" spans="1:21">
      <c r="A73" s="76"/>
      <c r="B73" s="77"/>
      <c r="C73" s="81"/>
      <c r="D73" s="82"/>
      <c r="E73" s="82"/>
      <c r="F73" s="83"/>
      <c r="G73" s="84"/>
      <c r="H73" s="85"/>
      <c r="I73" s="71" t="e">
        <f>#REF!&amp;" "&amp;StaffPayroll[[#This Row],[Employee ID Number / Code]]</f>
        <v>#REF!</v>
      </c>
      <c r="J73" s="71" t="str">
        <f>_xlfn.IFNA(VLOOKUP(StaffPayroll[[#This Row],[Position / Title]],Lists!A:C,3,FALSE),"")</f>
        <v/>
      </c>
      <c r="K73" s="71">
        <f>StaffPayroll[[#This Row],[Payroll Period Ends Date (Minimum two months)]]-StaffPayroll[[#This Row],[Payroll Period Begins Date        (Must start after 6/1/2025)]]+1</f>
        <v>1</v>
      </c>
      <c r="L73" s="38">
        <f>IFERROR(IF(VLOOKUP(J73,'Facility Info Input'!$B$25:$D$34,3,FALSE)="",1,VLOOKUP(J73,'Facility Info Input'!$B$25:$D$34,3,FALSE)),0)</f>
        <v>0</v>
      </c>
      <c r="M73" s="22" t="str">
        <f>IF(StaffPayroll[[#This Row],[Employee ID Number / Code]]="","",IF(StaffPayroll[[#This Row],[Position / Title]]="","",VLOOKUP(StaffPayroll[[#This Row],[Position / Title]],Lists!A:C,2,FALSE)))</f>
        <v/>
      </c>
      <c r="N73" s="22">
        <f>IF(C73="",0,StaffPayroll[[#This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3" s="31">
        <f>IF(StaffPayroll[[#This Row],[Hourly WSB  Wage Minimum]]="",0,StaffPayroll[[#This Row],[Annual NF Wage Costs after WSB Minimum]]-StaffPayroll[[#This Row],[Annual NF Wage Costs before WSB Minimum]])</f>
        <v>0</v>
      </c>
      <c r="Q73" s="31">
        <f>IFERROR(IF(StaffPayroll[[#This Row],[Annual Cost of Wage Increase included in Rate Adjustment]]=0,0,P73*'Facility Info Input'!$F$10),0)</f>
        <v>0</v>
      </c>
      <c r="R73" s="32">
        <f>IFERROR(IF(StaffPayroll[[#This Row],[Annual Cost of Wage Increase included in Rate Adjustment]]=0,0,IF('Facility Info Input'!$F$11&lt;=0,0,P73*'Facility Info Input'!$F$11)),0)</f>
        <v>0</v>
      </c>
      <c r="S73" s="32">
        <f>IFERROR(IF(StaffPayroll[[#This Row],[Annual Cost of Wage Increase included in Rate Adjustment]]=0,0,IF('Facility Info Input'!$F$12&lt;=0,0,P73*'Facility Info Input'!$F$12)),0)</f>
        <v>0</v>
      </c>
      <c r="T73" s="32">
        <f t="shared" si="2"/>
        <v>0</v>
      </c>
      <c r="U73" s="33">
        <f t="shared" si="3"/>
        <v>0</v>
      </c>
    </row>
    <row r="74" spans="1:21">
      <c r="A74" s="76"/>
      <c r="B74" s="77"/>
      <c r="C74" s="81"/>
      <c r="D74" s="82"/>
      <c r="E74" s="82"/>
      <c r="F74" s="83"/>
      <c r="G74" s="84"/>
      <c r="H74" s="85"/>
      <c r="I74" s="71" t="e">
        <f>#REF!&amp;" "&amp;StaffPayroll[[#This Row],[Employee ID Number / Code]]</f>
        <v>#REF!</v>
      </c>
      <c r="J74" s="71" t="str">
        <f>_xlfn.IFNA(VLOOKUP(StaffPayroll[[#This Row],[Position / Title]],Lists!A:C,3,FALSE),"")</f>
        <v/>
      </c>
      <c r="K74" s="71">
        <f>StaffPayroll[[#This Row],[Payroll Period Ends Date (Minimum two months)]]-StaffPayroll[[#This Row],[Payroll Period Begins Date        (Must start after 6/1/2025)]]+1</f>
        <v>1</v>
      </c>
      <c r="L74" s="38">
        <f>IFERROR(IF(VLOOKUP(J74,'Facility Info Input'!$B$25:$D$34,3,FALSE)="",1,VLOOKUP(J74,'Facility Info Input'!$B$25:$D$34,3,FALSE)),0)</f>
        <v>0</v>
      </c>
      <c r="M74" s="22" t="str">
        <f>IF(StaffPayroll[[#This Row],[Employee ID Number / Code]]="","",IF(StaffPayroll[[#This Row],[Position / Title]]="","",VLOOKUP(StaffPayroll[[#This Row],[Position / Title]],Lists!A:C,2,FALSE)))</f>
        <v/>
      </c>
      <c r="N74" s="22">
        <f>IF(C74="",0,StaffPayroll[[#This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4" s="31">
        <f>IF(StaffPayroll[[#This Row],[Hourly WSB  Wage Minimum]]="",0,StaffPayroll[[#This Row],[Annual NF Wage Costs after WSB Minimum]]-StaffPayroll[[#This Row],[Annual NF Wage Costs before WSB Minimum]])</f>
        <v>0</v>
      </c>
      <c r="Q74" s="31">
        <f>IFERROR(IF(StaffPayroll[[#This Row],[Annual Cost of Wage Increase included in Rate Adjustment]]=0,0,P74*'Facility Info Input'!$F$10),0)</f>
        <v>0</v>
      </c>
      <c r="R74" s="32">
        <f>IFERROR(IF(StaffPayroll[[#This Row],[Annual Cost of Wage Increase included in Rate Adjustment]]=0,0,IF('Facility Info Input'!$F$11&lt;=0,0,P74*'Facility Info Input'!$F$11)),0)</f>
        <v>0</v>
      </c>
      <c r="S74" s="32">
        <f>IFERROR(IF(StaffPayroll[[#This Row],[Annual Cost of Wage Increase included in Rate Adjustment]]=0,0,IF('Facility Info Input'!$F$12&lt;=0,0,P74*'Facility Info Input'!$F$12)),0)</f>
        <v>0</v>
      </c>
      <c r="T74" s="32">
        <f t="shared" si="2"/>
        <v>0</v>
      </c>
      <c r="U74" s="33">
        <f t="shared" si="3"/>
        <v>0</v>
      </c>
    </row>
    <row r="75" spans="1:21">
      <c r="A75" s="76"/>
      <c r="B75" s="77"/>
      <c r="C75" s="81"/>
      <c r="D75" s="82"/>
      <c r="E75" s="82"/>
      <c r="F75" s="83"/>
      <c r="G75" s="84"/>
      <c r="H75" s="85"/>
      <c r="I75" s="71" t="e">
        <f>#REF!&amp;" "&amp;StaffPayroll[[#This Row],[Employee ID Number / Code]]</f>
        <v>#REF!</v>
      </c>
      <c r="J75" s="71" t="str">
        <f>_xlfn.IFNA(VLOOKUP(StaffPayroll[[#This Row],[Position / Title]],Lists!A:C,3,FALSE),"")</f>
        <v/>
      </c>
      <c r="K75" s="71">
        <f>StaffPayroll[[#This Row],[Payroll Period Ends Date (Minimum two months)]]-StaffPayroll[[#This Row],[Payroll Period Begins Date        (Must start after 6/1/2025)]]+1</f>
        <v>1</v>
      </c>
      <c r="L75" s="38">
        <f>IFERROR(IF(VLOOKUP(J75,'Facility Info Input'!$B$25:$D$34,3,FALSE)="",1,VLOOKUP(J75,'Facility Info Input'!$B$25:$D$34,3,FALSE)),0)</f>
        <v>0</v>
      </c>
      <c r="M75" s="22" t="str">
        <f>IF(StaffPayroll[[#This Row],[Employee ID Number / Code]]="","",IF(StaffPayroll[[#This Row],[Position / Title]]="","",VLOOKUP(StaffPayroll[[#This Row],[Position / Title]],Lists!A:C,2,FALSE)))</f>
        <v/>
      </c>
      <c r="N75" s="22">
        <f>IF(C75="",0,StaffPayroll[[#This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5" s="31">
        <f>IF(StaffPayroll[[#This Row],[Hourly WSB  Wage Minimum]]="",0,StaffPayroll[[#This Row],[Annual NF Wage Costs after WSB Minimum]]-StaffPayroll[[#This Row],[Annual NF Wage Costs before WSB Minimum]])</f>
        <v>0</v>
      </c>
      <c r="Q75" s="31">
        <f>IFERROR(IF(StaffPayroll[[#This Row],[Annual Cost of Wage Increase included in Rate Adjustment]]=0,0,P75*'Facility Info Input'!$F$10),0)</f>
        <v>0</v>
      </c>
      <c r="R75" s="32">
        <f>IFERROR(IF(StaffPayroll[[#This Row],[Annual Cost of Wage Increase included in Rate Adjustment]]=0,0,IF('Facility Info Input'!$F$11&lt;=0,0,P75*'Facility Info Input'!$F$11)),0)</f>
        <v>0</v>
      </c>
      <c r="S75" s="32">
        <f>IFERROR(IF(StaffPayroll[[#This Row],[Annual Cost of Wage Increase included in Rate Adjustment]]=0,0,IF('Facility Info Input'!$F$12&lt;=0,0,P75*'Facility Info Input'!$F$12)),0)</f>
        <v>0</v>
      </c>
      <c r="T75" s="32">
        <f t="shared" si="2"/>
        <v>0</v>
      </c>
      <c r="U75" s="33">
        <f t="shared" si="3"/>
        <v>0</v>
      </c>
    </row>
    <row r="76" spans="1:21">
      <c r="A76" s="76"/>
      <c r="B76" s="77"/>
      <c r="C76" s="81"/>
      <c r="D76" s="82"/>
      <c r="E76" s="82"/>
      <c r="F76" s="83"/>
      <c r="G76" s="84"/>
      <c r="H76" s="85"/>
      <c r="I76" s="71" t="e">
        <f>#REF!&amp;" "&amp;StaffPayroll[[#This Row],[Employee ID Number / Code]]</f>
        <v>#REF!</v>
      </c>
      <c r="J76" s="71" t="str">
        <f>_xlfn.IFNA(VLOOKUP(StaffPayroll[[#This Row],[Position / Title]],Lists!A:C,3,FALSE),"")</f>
        <v/>
      </c>
      <c r="K76" s="71">
        <f>StaffPayroll[[#This Row],[Payroll Period Ends Date (Minimum two months)]]-StaffPayroll[[#This Row],[Payroll Period Begins Date        (Must start after 6/1/2025)]]+1</f>
        <v>1</v>
      </c>
      <c r="L76" s="38">
        <f>IFERROR(IF(VLOOKUP(J76,'Facility Info Input'!$B$25:$D$34,3,FALSE)="",1,VLOOKUP(J76,'Facility Info Input'!$B$25:$D$34,3,FALSE)),0)</f>
        <v>0</v>
      </c>
      <c r="M76" s="22" t="str">
        <f>IF(StaffPayroll[[#This Row],[Employee ID Number / Code]]="","",IF(StaffPayroll[[#This Row],[Position / Title]]="","",VLOOKUP(StaffPayroll[[#This Row],[Position / Title]],Lists!A:C,2,FALSE)))</f>
        <v/>
      </c>
      <c r="N76" s="22">
        <f>IF(C76="",0,StaffPayroll[[#This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6" s="31">
        <f>IF(StaffPayroll[[#This Row],[Hourly WSB  Wage Minimum]]="",0,StaffPayroll[[#This Row],[Annual NF Wage Costs after WSB Minimum]]-StaffPayroll[[#This Row],[Annual NF Wage Costs before WSB Minimum]])</f>
        <v>0</v>
      </c>
      <c r="Q76" s="31">
        <f>IFERROR(IF(StaffPayroll[[#This Row],[Annual Cost of Wage Increase included in Rate Adjustment]]=0,0,P76*'Facility Info Input'!$F$10),0)</f>
        <v>0</v>
      </c>
      <c r="R76" s="32">
        <f>IFERROR(IF(StaffPayroll[[#This Row],[Annual Cost of Wage Increase included in Rate Adjustment]]=0,0,IF('Facility Info Input'!$F$11&lt;=0,0,P76*'Facility Info Input'!$F$11)),0)</f>
        <v>0</v>
      </c>
      <c r="S76" s="32">
        <f>IFERROR(IF(StaffPayroll[[#This Row],[Annual Cost of Wage Increase included in Rate Adjustment]]=0,0,IF('Facility Info Input'!$F$12&lt;=0,0,P76*'Facility Info Input'!$F$12)),0)</f>
        <v>0</v>
      </c>
      <c r="T76" s="32">
        <f t="shared" si="2"/>
        <v>0</v>
      </c>
      <c r="U76" s="33">
        <f t="shared" si="3"/>
        <v>0</v>
      </c>
    </row>
    <row r="77" spans="1:21">
      <c r="A77" s="76"/>
      <c r="B77" s="77"/>
      <c r="C77" s="81"/>
      <c r="D77" s="82"/>
      <c r="E77" s="82"/>
      <c r="F77" s="83"/>
      <c r="G77" s="84"/>
      <c r="H77" s="85"/>
      <c r="I77" s="71" t="e">
        <f>#REF!&amp;" "&amp;StaffPayroll[[#This Row],[Employee ID Number / Code]]</f>
        <v>#REF!</v>
      </c>
      <c r="J77" s="71" t="str">
        <f>_xlfn.IFNA(VLOOKUP(StaffPayroll[[#This Row],[Position / Title]],Lists!A:C,3,FALSE),"")</f>
        <v/>
      </c>
      <c r="K77" s="71">
        <f>StaffPayroll[[#This Row],[Payroll Period Ends Date (Minimum two months)]]-StaffPayroll[[#This Row],[Payroll Period Begins Date        (Must start after 6/1/2025)]]+1</f>
        <v>1</v>
      </c>
      <c r="L77" s="38">
        <f>IFERROR(IF(VLOOKUP(J77,'Facility Info Input'!$B$25:$D$34,3,FALSE)="",1,VLOOKUP(J77,'Facility Info Input'!$B$25:$D$34,3,FALSE)),0)</f>
        <v>0</v>
      </c>
      <c r="M77" s="22" t="str">
        <f>IF(StaffPayroll[[#This Row],[Employee ID Number / Code]]="","",IF(StaffPayroll[[#This Row],[Position / Title]]="","",VLOOKUP(StaffPayroll[[#This Row],[Position / Title]],Lists!A:C,2,FALSE)))</f>
        <v/>
      </c>
      <c r="N77" s="22">
        <f>IF(C77="",0,StaffPayroll[[#This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7" s="31">
        <f>IF(StaffPayroll[[#This Row],[Hourly WSB  Wage Minimum]]="",0,StaffPayroll[[#This Row],[Annual NF Wage Costs after WSB Minimum]]-StaffPayroll[[#This Row],[Annual NF Wage Costs before WSB Minimum]])</f>
        <v>0</v>
      </c>
      <c r="Q77" s="31">
        <f>IFERROR(IF(StaffPayroll[[#This Row],[Annual Cost of Wage Increase included in Rate Adjustment]]=0,0,P77*'Facility Info Input'!$F$10),0)</f>
        <v>0</v>
      </c>
      <c r="R77" s="32">
        <f>IFERROR(IF(StaffPayroll[[#This Row],[Annual Cost of Wage Increase included in Rate Adjustment]]=0,0,IF('Facility Info Input'!$F$11&lt;=0,0,P77*'Facility Info Input'!$F$11)),0)</f>
        <v>0</v>
      </c>
      <c r="S77" s="32">
        <f>IFERROR(IF(StaffPayroll[[#This Row],[Annual Cost of Wage Increase included in Rate Adjustment]]=0,0,IF('Facility Info Input'!$F$12&lt;=0,0,P77*'Facility Info Input'!$F$12)),0)</f>
        <v>0</v>
      </c>
      <c r="T77" s="32">
        <f t="shared" si="2"/>
        <v>0</v>
      </c>
      <c r="U77" s="33">
        <f t="shared" si="3"/>
        <v>0</v>
      </c>
    </row>
    <row r="78" spans="1:21">
      <c r="A78" s="76"/>
      <c r="B78" s="77"/>
      <c r="C78" s="81"/>
      <c r="D78" s="82"/>
      <c r="E78" s="82"/>
      <c r="F78" s="83"/>
      <c r="G78" s="84"/>
      <c r="H78" s="85"/>
      <c r="I78" s="71" t="e">
        <f>#REF!&amp;" "&amp;StaffPayroll[[#This Row],[Employee ID Number / Code]]</f>
        <v>#REF!</v>
      </c>
      <c r="J78" s="71" t="str">
        <f>_xlfn.IFNA(VLOOKUP(StaffPayroll[[#This Row],[Position / Title]],Lists!A:C,3,FALSE),"")</f>
        <v/>
      </c>
      <c r="K78" s="71">
        <f>StaffPayroll[[#This Row],[Payroll Period Ends Date (Minimum two months)]]-StaffPayroll[[#This Row],[Payroll Period Begins Date        (Must start after 6/1/2025)]]+1</f>
        <v>1</v>
      </c>
      <c r="L78" s="38">
        <f>IFERROR(IF(VLOOKUP(J78,'Facility Info Input'!$B$25:$D$34,3,FALSE)="",1,VLOOKUP(J78,'Facility Info Input'!$B$25:$D$34,3,FALSE)),0)</f>
        <v>0</v>
      </c>
      <c r="M78" s="22" t="str">
        <f>IF(StaffPayroll[[#This Row],[Employee ID Number / Code]]="","",IF(StaffPayroll[[#This Row],[Position / Title]]="","",VLOOKUP(StaffPayroll[[#This Row],[Position / Title]],Lists!A:C,2,FALSE)))</f>
        <v/>
      </c>
      <c r="N78" s="22">
        <f>IF(C78="",0,StaffPayroll[[#This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8" s="31">
        <f>IF(StaffPayroll[[#This Row],[Hourly WSB  Wage Minimum]]="",0,StaffPayroll[[#This Row],[Annual NF Wage Costs after WSB Minimum]]-StaffPayroll[[#This Row],[Annual NF Wage Costs before WSB Minimum]])</f>
        <v>0</v>
      </c>
      <c r="Q78" s="31">
        <f>IFERROR(IF(StaffPayroll[[#This Row],[Annual Cost of Wage Increase included in Rate Adjustment]]=0,0,P78*'Facility Info Input'!$F$10),0)</f>
        <v>0</v>
      </c>
      <c r="R78" s="32">
        <f>IFERROR(IF(StaffPayroll[[#This Row],[Annual Cost of Wage Increase included in Rate Adjustment]]=0,0,IF('Facility Info Input'!$F$11&lt;=0,0,P78*'Facility Info Input'!$F$11)),0)</f>
        <v>0</v>
      </c>
      <c r="S78" s="32">
        <f>IFERROR(IF(StaffPayroll[[#This Row],[Annual Cost of Wage Increase included in Rate Adjustment]]=0,0,IF('Facility Info Input'!$F$12&lt;=0,0,P78*'Facility Info Input'!$F$12)),0)</f>
        <v>0</v>
      </c>
      <c r="T78" s="32">
        <f t="shared" si="2"/>
        <v>0</v>
      </c>
      <c r="U78" s="33">
        <f t="shared" si="3"/>
        <v>0</v>
      </c>
    </row>
    <row r="79" spans="1:21">
      <c r="A79" s="76"/>
      <c r="B79" s="77"/>
      <c r="C79" s="81"/>
      <c r="D79" s="82"/>
      <c r="E79" s="82"/>
      <c r="F79" s="83"/>
      <c r="G79" s="84"/>
      <c r="H79" s="85"/>
      <c r="I79" s="71" t="e">
        <f>#REF!&amp;" "&amp;StaffPayroll[[#This Row],[Employee ID Number / Code]]</f>
        <v>#REF!</v>
      </c>
      <c r="J79" s="71" t="str">
        <f>_xlfn.IFNA(VLOOKUP(StaffPayroll[[#This Row],[Position / Title]],Lists!A:C,3,FALSE),"")</f>
        <v/>
      </c>
      <c r="K79" s="71">
        <f>StaffPayroll[[#This Row],[Payroll Period Ends Date (Minimum two months)]]-StaffPayroll[[#This Row],[Payroll Period Begins Date        (Must start after 6/1/2025)]]+1</f>
        <v>1</v>
      </c>
      <c r="L79" s="38">
        <f>IFERROR(IF(VLOOKUP(J79,'Facility Info Input'!$B$25:$D$34,3,FALSE)="",1,VLOOKUP(J79,'Facility Info Input'!$B$25:$D$34,3,FALSE)),0)</f>
        <v>0</v>
      </c>
      <c r="M79" s="22" t="str">
        <f>IF(StaffPayroll[[#This Row],[Employee ID Number / Code]]="","",IF(StaffPayroll[[#This Row],[Position / Title]]="","",VLOOKUP(StaffPayroll[[#This Row],[Position / Title]],Lists!A:C,2,FALSE)))</f>
        <v/>
      </c>
      <c r="N79" s="22">
        <f>IF(C79="",0,StaffPayroll[[#This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7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79" s="31">
        <f>IF(StaffPayroll[[#This Row],[Hourly WSB  Wage Minimum]]="",0,StaffPayroll[[#This Row],[Annual NF Wage Costs after WSB Minimum]]-StaffPayroll[[#This Row],[Annual NF Wage Costs before WSB Minimum]])</f>
        <v>0</v>
      </c>
      <c r="Q79" s="31">
        <f>IFERROR(IF(StaffPayroll[[#This Row],[Annual Cost of Wage Increase included in Rate Adjustment]]=0,0,P79*'Facility Info Input'!$F$10),0)</f>
        <v>0</v>
      </c>
      <c r="R79" s="32">
        <f>IFERROR(IF(StaffPayroll[[#This Row],[Annual Cost of Wage Increase included in Rate Adjustment]]=0,0,IF('Facility Info Input'!$F$11&lt;=0,0,P79*'Facility Info Input'!$F$11)),0)</f>
        <v>0</v>
      </c>
      <c r="S79" s="32">
        <f>IFERROR(IF(StaffPayroll[[#This Row],[Annual Cost of Wage Increase included in Rate Adjustment]]=0,0,IF('Facility Info Input'!$F$12&lt;=0,0,P79*'Facility Info Input'!$F$12)),0)</f>
        <v>0</v>
      </c>
      <c r="T79" s="32">
        <f t="shared" si="2"/>
        <v>0</v>
      </c>
      <c r="U79" s="33">
        <f t="shared" si="3"/>
        <v>0</v>
      </c>
    </row>
    <row r="80" spans="1:21">
      <c r="A80" s="76"/>
      <c r="B80" s="77"/>
      <c r="C80" s="81"/>
      <c r="D80" s="82"/>
      <c r="E80" s="82"/>
      <c r="F80" s="83"/>
      <c r="G80" s="84"/>
      <c r="H80" s="85"/>
      <c r="I80" s="71" t="e">
        <f>#REF!&amp;" "&amp;StaffPayroll[[#This Row],[Employee ID Number / Code]]</f>
        <v>#REF!</v>
      </c>
      <c r="J80" s="71" t="str">
        <f>_xlfn.IFNA(VLOOKUP(StaffPayroll[[#This Row],[Position / Title]],Lists!A:C,3,FALSE),"")</f>
        <v/>
      </c>
      <c r="K80" s="71">
        <f>StaffPayroll[[#This Row],[Payroll Period Ends Date (Minimum two months)]]-StaffPayroll[[#This Row],[Payroll Period Begins Date        (Must start after 6/1/2025)]]+1</f>
        <v>1</v>
      </c>
      <c r="L80" s="38">
        <f>IFERROR(IF(VLOOKUP(J80,'Facility Info Input'!$B$25:$D$34,3,FALSE)="",1,VLOOKUP(J80,'Facility Info Input'!$B$25:$D$34,3,FALSE)),0)</f>
        <v>0</v>
      </c>
      <c r="M80" s="22" t="str">
        <f>IF(StaffPayroll[[#This Row],[Employee ID Number / Code]]="","",IF(StaffPayroll[[#This Row],[Position / Title]]="","",VLOOKUP(StaffPayroll[[#This Row],[Position / Title]],Lists!A:C,2,FALSE)))</f>
        <v/>
      </c>
      <c r="N80" s="22">
        <f>IF(C80="",0,StaffPayroll[[#This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0" s="31">
        <f>IF(StaffPayroll[[#This Row],[Hourly WSB  Wage Minimum]]="",0,StaffPayroll[[#This Row],[Annual NF Wage Costs after WSB Minimum]]-StaffPayroll[[#This Row],[Annual NF Wage Costs before WSB Minimum]])</f>
        <v>0</v>
      </c>
      <c r="Q80" s="31">
        <f>IFERROR(IF(StaffPayroll[[#This Row],[Annual Cost of Wage Increase included in Rate Adjustment]]=0,0,P80*'Facility Info Input'!$F$10),0)</f>
        <v>0</v>
      </c>
      <c r="R80" s="32">
        <f>IFERROR(IF(StaffPayroll[[#This Row],[Annual Cost of Wage Increase included in Rate Adjustment]]=0,0,IF('Facility Info Input'!$F$11&lt;=0,0,P80*'Facility Info Input'!$F$11)),0)</f>
        <v>0</v>
      </c>
      <c r="S80" s="32">
        <f>IFERROR(IF(StaffPayroll[[#This Row],[Annual Cost of Wage Increase included in Rate Adjustment]]=0,0,IF('Facility Info Input'!$F$12&lt;=0,0,P80*'Facility Info Input'!$F$12)),0)</f>
        <v>0</v>
      </c>
      <c r="T80" s="32">
        <f t="shared" si="2"/>
        <v>0</v>
      </c>
      <c r="U80" s="33">
        <f t="shared" si="3"/>
        <v>0</v>
      </c>
    </row>
    <row r="81" spans="1:21">
      <c r="A81" s="76"/>
      <c r="B81" s="77"/>
      <c r="C81" s="81"/>
      <c r="D81" s="82"/>
      <c r="E81" s="82"/>
      <c r="F81" s="83"/>
      <c r="G81" s="84"/>
      <c r="H81" s="85"/>
      <c r="I81" s="71" t="e">
        <f>#REF!&amp;" "&amp;StaffPayroll[[#This Row],[Employee ID Number / Code]]</f>
        <v>#REF!</v>
      </c>
      <c r="J81" s="71" t="str">
        <f>_xlfn.IFNA(VLOOKUP(StaffPayroll[[#This Row],[Position / Title]],Lists!A:C,3,FALSE),"")</f>
        <v/>
      </c>
      <c r="K81" s="71">
        <f>StaffPayroll[[#This Row],[Payroll Period Ends Date (Minimum two months)]]-StaffPayroll[[#This Row],[Payroll Period Begins Date        (Must start after 6/1/2025)]]+1</f>
        <v>1</v>
      </c>
      <c r="L81" s="38">
        <f>IFERROR(IF(VLOOKUP(J81,'Facility Info Input'!$B$25:$D$34,3,FALSE)="",1,VLOOKUP(J81,'Facility Info Input'!$B$25:$D$34,3,FALSE)),0)</f>
        <v>0</v>
      </c>
      <c r="M81" s="22" t="str">
        <f>IF(StaffPayroll[[#This Row],[Employee ID Number / Code]]="","",IF(StaffPayroll[[#This Row],[Position / Title]]="","",VLOOKUP(StaffPayroll[[#This Row],[Position / Title]],Lists!A:C,2,FALSE)))</f>
        <v/>
      </c>
      <c r="N81" s="22">
        <f>IF(C81="",0,StaffPayroll[[#This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1" s="31">
        <f>IF(StaffPayroll[[#This Row],[Hourly WSB  Wage Minimum]]="",0,StaffPayroll[[#This Row],[Annual NF Wage Costs after WSB Minimum]]-StaffPayroll[[#This Row],[Annual NF Wage Costs before WSB Minimum]])</f>
        <v>0</v>
      </c>
      <c r="Q81" s="31">
        <f>IFERROR(IF(StaffPayroll[[#This Row],[Annual Cost of Wage Increase included in Rate Adjustment]]=0,0,P81*'Facility Info Input'!$F$10),0)</f>
        <v>0</v>
      </c>
      <c r="R81" s="32">
        <f>IFERROR(IF(StaffPayroll[[#This Row],[Annual Cost of Wage Increase included in Rate Adjustment]]=0,0,IF('Facility Info Input'!$F$11&lt;=0,0,P81*'Facility Info Input'!$F$11)),0)</f>
        <v>0</v>
      </c>
      <c r="S81" s="32">
        <f>IFERROR(IF(StaffPayroll[[#This Row],[Annual Cost of Wage Increase included in Rate Adjustment]]=0,0,IF('Facility Info Input'!$F$12&lt;=0,0,P81*'Facility Info Input'!$F$12)),0)</f>
        <v>0</v>
      </c>
      <c r="T81" s="32">
        <f t="shared" si="2"/>
        <v>0</v>
      </c>
      <c r="U81" s="33">
        <f t="shared" si="3"/>
        <v>0</v>
      </c>
    </row>
    <row r="82" spans="1:21">
      <c r="A82" s="76"/>
      <c r="B82" s="77"/>
      <c r="C82" s="81"/>
      <c r="D82" s="82"/>
      <c r="E82" s="82"/>
      <c r="F82" s="83"/>
      <c r="G82" s="84"/>
      <c r="H82" s="85"/>
      <c r="I82" s="71" t="e">
        <f>#REF!&amp;" "&amp;StaffPayroll[[#This Row],[Employee ID Number / Code]]</f>
        <v>#REF!</v>
      </c>
      <c r="J82" s="71" t="str">
        <f>_xlfn.IFNA(VLOOKUP(StaffPayroll[[#This Row],[Position / Title]],Lists!A:C,3,FALSE),"")</f>
        <v/>
      </c>
      <c r="K82" s="71">
        <f>StaffPayroll[[#This Row],[Payroll Period Ends Date (Minimum two months)]]-StaffPayroll[[#This Row],[Payroll Period Begins Date        (Must start after 6/1/2025)]]+1</f>
        <v>1</v>
      </c>
      <c r="L82" s="38">
        <f>IFERROR(IF(VLOOKUP(J82,'Facility Info Input'!$B$25:$D$34,3,FALSE)="",1,VLOOKUP(J82,'Facility Info Input'!$B$25:$D$34,3,FALSE)),0)</f>
        <v>0</v>
      </c>
      <c r="M82" s="22" t="str">
        <f>IF(StaffPayroll[[#This Row],[Employee ID Number / Code]]="","",IF(StaffPayroll[[#This Row],[Position / Title]]="","",VLOOKUP(StaffPayroll[[#This Row],[Position / Title]],Lists!A:C,2,FALSE)))</f>
        <v/>
      </c>
      <c r="N82" s="22">
        <f>IF(C82="",0,StaffPayroll[[#This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2" s="31">
        <f>IF(StaffPayroll[[#This Row],[Hourly WSB  Wage Minimum]]="",0,StaffPayroll[[#This Row],[Annual NF Wage Costs after WSB Minimum]]-StaffPayroll[[#This Row],[Annual NF Wage Costs before WSB Minimum]])</f>
        <v>0</v>
      </c>
      <c r="Q82" s="31">
        <f>IFERROR(IF(StaffPayroll[[#This Row],[Annual Cost of Wage Increase included in Rate Adjustment]]=0,0,P82*'Facility Info Input'!$F$10),0)</f>
        <v>0</v>
      </c>
      <c r="R82" s="32">
        <f>IFERROR(IF(StaffPayroll[[#This Row],[Annual Cost of Wage Increase included in Rate Adjustment]]=0,0,IF('Facility Info Input'!$F$11&lt;=0,0,P82*'Facility Info Input'!$F$11)),0)</f>
        <v>0</v>
      </c>
      <c r="S82" s="32">
        <f>IFERROR(IF(StaffPayroll[[#This Row],[Annual Cost of Wage Increase included in Rate Adjustment]]=0,0,IF('Facility Info Input'!$F$12&lt;=0,0,P82*'Facility Info Input'!$F$12)),0)</f>
        <v>0</v>
      </c>
      <c r="T82" s="32">
        <f t="shared" si="2"/>
        <v>0</v>
      </c>
      <c r="U82" s="33">
        <f t="shared" si="3"/>
        <v>0</v>
      </c>
    </row>
    <row r="83" spans="1:21">
      <c r="A83" s="76"/>
      <c r="B83" s="77"/>
      <c r="C83" s="81"/>
      <c r="D83" s="82"/>
      <c r="E83" s="82"/>
      <c r="F83" s="83"/>
      <c r="G83" s="84"/>
      <c r="H83" s="85"/>
      <c r="I83" s="71" t="e">
        <f>#REF!&amp;" "&amp;StaffPayroll[[#This Row],[Employee ID Number / Code]]</f>
        <v>#REF!</v>
      </c>
      <c r="J83" s="71" t="str">
        <f>_xlfn.IFNA(VLOOKUP(StaffPayroll[[#This Row],[Position / Title]],Lists!A:C,3,FALSE),"")</f>
        <v/>
      </c>
      <c r="K83" s="71">
        <f>StaffPayroll[[#This Row],[Payroll Period Ends Date (Minimum two months)]]-StaffPayroll[[#This Row],[Payroll Period Begins Date        (Must start after 6/1/2025)]]+1</f>
        <v>1</v>
      </c>
      <c r="L83" s="38">
        <f>IFERROR(IF(VLOOKUP(J83,'Facility Info Input'!$B$25:$D$34,3,FALSE)="",1,VLOOKUP(J83,'Facility Info Input'!$B$25:$D$34,3,FALSE)),0)</f>
        <v>0</v>
      </c>
      <c r="M83" s="22" t="str">
        <f>IF(StaffPayroll[[#This Row],[Employee ID Number / Code]]="","",IF(StaffPayroll[[#This Row],[Position / Title]]="","",VLOOKUP(StaffPayroll[[#This Row],[Position / Title]],Lists!A:C,2,FALSE)))</f>
        <v/>
      </c>
      <c r="N83" s="22">
        <f>IF(C83="",0,StaffPayroll[[#This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3" s="31">
        <f>IF(StaffPayroll[[#This Row],[Hourly WSB  Wage Minimum]]="",0,StaffPayroll[[#This Row],[Annual NF Wage Costs after WSB Minimum]]-StaffPayroll[[#This Row],[Annual NF Wage Costs before WSB Minimum]])</f>
        <v>0</v>
      </c>
      <c r="Q83" s="31">
        <f>IFERROR(IF(StaffPayroll[[#This Row],[Annual Cost of Wage Increase included in Rate Adjustment]]=0,0,P83*'Facility Info Input'!$F$10),0)</f>
        <v>0</v>
      </c>
      <c r="R83" s="32">
        <f>IFERROR(IF(StaffPayroll[[#This Row],[Annual Cost of Wage Increase included in Rate Adjustment]]=0,0,IF('Facility Info Input'!$F$11&lt;=0,0,P83*'Facility Info Input'!$F$11)),0)</f>
        <v>0</v>
      </c>
      <c r="S83" s="32">
        <f>IFERROR(IF(StaffPayroll[[#This Row],[Annual Cost of Wage Increase included in Rate Adjustment]]=0,0,IF('Facility Info Input'!$F$12&lt;=0,0,P83*'Facility Info Input'!$F$12)),0)</f>
        <v>0</v>
      </c>
      <c r="T83" s="32">
        <f t="shared" si="2"/>
        <v>0</v>
      </c>
      <c r="U83" s="33">
        <f t="shared" si="3"/>
        <v>0</v>
      </c>
    </row>
    <row r="84" spans="1:21">
      <c r="A84" s="76"/>
      <c r="B84" s="77"/>
      <c r="C84" s="81"/>
      <c r="D84" s="82"/>
      <c r="E84" s="82"/>
      <c r="F84" s="83"/>
      <c r="G84" s="84"/>
      <c r="H84" s="85"/>
      <c r="I84" s="71" t="e">
        <f>#REF!&amp;" "&amp;StaffPayroll[[#This Row],[Employee ID Number / Code]]</f>
        <v>#REF!</v>
      </c>
      <c r="J84" s="71" t="str">
        <f>_xlfn.IFNA(VLOOKUP(StaffPayroll[[#This Row],[Position / Title]],Lists!A:C,3,FALSE),"")</f>
        <v/>
      </c>
      <c r="K84" s="71">
        <f>StaffPayroll[[#This Row],[Payroll Period Ends Date (Minimum two months)]]-StaffPayroll[[#This Row],[Payroll Period Begins Date        (Must start after 6/1/2025)]]+1</f>
        <v>1</v>
      </c>
      <c r="L84" s="38">
        <f>IFERROR(IF(VLOOKUP(J84,'Facility Info Input'!$B$25:$D$34,3,FALSE)="",1,VLOOKUP(J84,'Facility Info Input'!$B$25:$D$34,3,FALSE)),0)</f>
        <v>0</v>
      </c>
      <c r="M84" s="22" t="str">
        <f>IF(StaffPayroll[[#This Row],[Employee ID Number / Code]]="","",IF(StaffPayroll[[#This Row],[Position / Title]]="","",VLOOKUP(StaffPayroll[[#This Row],[Position / Title]],Lists!A:C,2,FALSE)))</f>
        <v/>
      </c>
      <c r="N84" s="22">
        <f>IF(C84="",0,StaffPayroll[[#This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4" s="31">
        <f>IF(StaffPayroll[[#This Row],[Hourly WSB  Wage Minimum]]="",0,StaffPayroll[[#This Row],[Annual NF Wage Costs after WSB Minimum]]-StaffPayroll[[#This Row],[Annual NF Wage Costs before WSB Minimum]])</f>
        <v>0</v>
      </c>
      <c r="Q84" s="31">
        <f>IFERROR(IF(StaffPayroll[[#This Row],[Annual Cost of Wage Increase included in Rate Adjustment]]=0,0,P84*'Facility Info Input'!$F$10),0)</f>
        <v>0</v>
      </c>
      <c r="R84" s="32">
        <f>IFERROR(IF(StaffPayroll[[#This Row],[Annual Cost of Wage Increase included in Rate Adjustment]]=0,0,IF('Facility Info Input'!$F$11&lt;=0,0,P84*'Facility Info Input'!$F$11)),0)</f>
        <v>0</v>
      </c>
      <c r="S84" s="32">
        <f>IFERROR(IF(StaffPayroll[[#This Row],[Annual Cost of Wage Increase included in Rate Adjustment]]=0,0,IF('Facility Info Input'!$F$12&lt;=0,0,P84*'Facility Info Input'!$F$12)),0)</f>
        <v>0</v>
      </c>
      <c r="T84" s="32">
        <f t="shared" si="2"/>
        <v>0</v>
      </c>
      <c r="U84" s="33">
        <f t="shared" si="3"/>
        <v>0</v>
      </c>
    </row>
    <row r="85" spans="1:21">
      <c r="A85" s="76"/>
      <c r="B85" s="77"/>
      <c r="C85" s="81"/>
      <c r="D85" s="82"/>
      <c r="E85" s="82"/>
      <c r="F85" s="83"/>
      <c r="G85" s="84"/>
      <c r="H85" s="85"/>
      <c r="I85" s="71" t="e">
        <f>#REF!&amp;" "&amp;StaffPayroll[[#This Row],[Employee ID Number / Code]]</f>
        <v>#REF!</v>
      </c>
      <c r="J85" s="71" t="str">
        <f>_xlfn.IFNA(VLOOKUP(StaffPayroll[[#This Row],[Position / Title]],Lists!A:C,3,FALSE),"")</f>
        <v/>
      </c>
      <c r="K85" s="71">
        <f>StaffPayroll[[#This Row],[Payroll Period Ends Date (Minimum two months)]]-StaffPayroll[[#This Row],[Payroll Period Begins Date        (Must start after 6/1/2025)]]+1</f>
        <v>1</v>
      </c>
      <c r="L85" s="38">
        <f>IFERROR(IF(VLOOKUP(J85,'Facility Info Input'!$B$25:$D$34,3,FALSE)="",1,VLOOKUP(J85,'Facility Info Input'!$B$25:$D$34,3,FALSE)),0)</f>
        <v>0</v>
      </c>
      <c r="M85" s="22" t="str">
        <f>IF(StaffPayroll[[#This Row],[Employee ID Number / Code]]="","",IF(StaffPayroll[[#This Row],[Position / Title]]="","",VLOOKUP(StaffPayroll[[#This Row],[Position / Title]],Lists!A:C,2,FALSE)))</f>
        <v/>
      </c>
      <c r="N85" s="22">
        <f>IF(C85="",0,StaffPayroll[[#This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5" s="31">
        <f>IF(StaffPayroll[[#This Row],[Hourly WSB  Wage Minimum]]="",0,StaffPayroll[[#This Row],[Annual NF Wage Costs after WSB Minimum]]-StaffPayroll[[#This Row],[Annual NF Wage Costs before WSB Minimum]])</f>
        <v>0</v>
      </c>
      <c r="Q85" s="31">
        <f>IFERROR(IF(StaffPayroll[[#This Row],[Annual Cost of Wage Increase included in Rate Adjustment]]=0,0,P85*'Facility Info Input'!$F$10),0)</f>
        <v>0</v>
      </c>
      <c r="R85" s="32">
        <f>IFERROR(IF(StaffPayroll[[#This Row],[Annual Cost of Wage Increase included in Rate Adjustment]]=0,0,IF('Facility Info Input'!$F$11&lt;=0,0,P85*'Facility Info Input'!$F$11)),0)</f>
        <v>0</v>
      </c>
      <c r="S85" s="32">
        <f>IFERROR(IF(StaffPayroll[[#This Row],[Annual Cost of Wage Increase included in Rate Adjustment]]=0,0,IF('Facility Info Input'!$F$12&lt;=0,0,P85*'Facility Info Input'!$F$12)),0)</f>
        <v>0</v>
      </c>
      <c r="T85" s="32">
        <f t="shared" si="2"/>
        <v>0</v>
      </c>
      <c r="U85" s="33">
        <f t="shared" si="3"/>
        <v>0</v>
      </c>
    </row>
    <row r="86" spans="1:21">
      <c r="A86" s="76"/>
      <c r="B86" s="77"/>
      <c r="C86" s="81"/>
      <c r="D86" s="82"/>
      <c r="E86" s="82"/>
      <c r="F86" s="83"/>
      <c r="G86" s="84"/>
      <c r="H86" s="85"/>
      <c r="I86" s="71" t="e">
        <f>#REF!&amp;" "&amp;StaffPayroll[[#This Row],[Employee ID Number / Code]]</f>
        <v>#REF!</v>
      </c>
      <c r="J86" s="71" t="str">
        <f>_xlfn.IFNA(VLOOKUP(StaffPayroll[[#This Row],[Position / Title]],Lists!A:C,3,FALSE),"")</f>
        <v/>
      </c>
      <c r="K86" s="71">
        <f>StaffPayroll[[#This Row],[Payroll Period Ends Date (Minimum two months)]]-StaffPayroll[[#This Row],[Payroll Period Begins Date        (Must start after 6/1/2025)]]+1</f>
        <v>1</v>
      </c>
      <c r="L86" s="38">
        <f>IFERROR(IF(VLOOKUP(J86,'Facility Info Input'!$B$25:$D$34,3,FALSE)="",1,VLOOKUP(J86,'Facility Info Input'!$B$25:$D$34,3,FALSE)),0)</f>
        <v>0</v>
      </c>
      <c r="M86" s="22" t="str">
        <f>IF(StaffPayroll[[#This Row],[Employee ID Number / Code]]="","",IF(StaffPayroll[[#This Row],[Position / Title]]="","",VLOOKUP(StaffPayroll[[#This Row],[Position / Title]],Lists!A:C,2,FALSE)))</f>
        <v/>
      </c>
      <c r="N86" s="22">
        <f>IF(C86="",0,StaffPayroll[[#This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6" s="31">
        <f>IF(StaffPayroll[[#This Row],[Hourly WSB  Wage Minimum]]="",0,StaffPayroll[[#This Row],[Annual NF Wage Costs after WSB Minimum]]-StaffPayroll[[#This Row],[Annual NF Wage Costs before WSB Minimum]])</f>
        <v>0</v>
      </c>
      <c r="Q86" s="31">
        <f>IFERROR(IF(StaffPayroll[[#This Row],[Annual Cost of Wage Increase included in Rate Adjustment]]=0,0,P86*'Facility Info Input'!$F$10),0)</f>
        <v>0</v>
      </c>
      <c r="R86" s="32">
        <f>IFERROR(IF(StaffPayroll[[#This Row],[Annual Cost of Wage Increase included in Rate Adjustment]]=0,0,IF('Facility Info Input'!$F$11&lt;=0,0,P86*'Facility Info Input'!$F$11)),0)</f>
        <v>0</v>
      </c>
      <c r="S86" s="32">
        <f>IFERROR(IF(StaffPayroll[[#This Row],[Annual Cost of Wage Increase included in Rate Adjustment]]=0,0,IF('Facility Info Input'!$F$12&lt;=0,0,P86*'Facility Info Input'!$F$12)),0)</f>
        <v>0</v>
      </c>
      <c r="T86" s="32">
        <f t="shared" si="2"/>
        <v>0</v>
      </c>
      <c r="U86" s="33">
        <f t="shared" si="3"/>
        <v>0</v>
      </c>
    </row>
    <row r="87" spans="1:21">
      <c r="A87" s="76"/>
      <c r="B87" s="77"/>
      <c r="C87" s="81"/>
      <c r="D87" s="82"/>
      <c r="E87" s="82"/>
      <c r="F87" s="83"/>
      <c r="G87" s="84"/>
      <c r="H87" s="85"/>
      <c r="I87" s="71" t="e">
        <f>#REF!&amp;" "&amp;StaffPayroll[[#This Row],[Employee ID Number / Code]]</f>
        <v>#REF!</v>
      </c>
      <c r="J87" s="71" t="str">
        <f>_xlfn.IFNA(VLOOKUP(StaffPayroll[[#This Row],[Position / Title]],Lists!A:C,3,FALSE),"")</f>
        <v/>
      </c>
      <c r="K87" s="71">
        <f>StaffPayroll[[#This Row],[Payroll Period Ends Date (Minimum two months)]]-StaffPayroll[[#This Row],[Payroll Period Begins Date        (Must start after 6/1/2025)]]+1</f>
        <v>1</v>
      </c>
      <c r="L87" s="38">
        <f>IFERROR(IF(VLOOKUP(J87,'Facility Info Input'!$B$25:$D$34,3,FALSE)="",1,VLOOKUP(J87,'Facility Info Input'!$B$25:$D$34,3,FALSE)),0)</f>
        <v>0</v>
      </c>
      <c r="M87" s="22" t="str">
        <f>IF(StaffPayroll[[#This Row],[Employee ID Number / Code]]="","",IF(StaffPayroll[[#This Row],[Position / Title]]="","",VLOOKUP(StaffPayroll[[#This Row],[Position / Title]],Lists!A:C,2,FALSE)))</f>
        <v/>
      </c>
      <c r="N87" s="22">
        <f>IF(C87="",0,StaffPayroll[[#This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7" s="31">
        <f>IF(StaffPayroll[[#This Row],[Hourly WSB  Wage Minimum]]="",0,StaffPayroll[[#This Row],[Annual NF Wage Costs after WSB Minimum]]-StaffPayroll[[#This Row],[Annual NF Wage Costs before WSB Minimum]])</f>
        <v>0</v>
      </c>
      <c r="Q87" s="31">
        <f>IFERROR(IF(StaffPayroll[[#This Row],[Annual Cost of Wage Increase included in Rate Adjustment]]=0,0,P87*'Facility Info Input'!$F$10),0)</f>
        <v>0</v>
      </c>
      <c r="R87" s="32">
        <f>IFERROR(IF(StaffPayroll[[#This Row],[Annual Cost of Wage Increase included in Rate Adjustment]]=0,0,IF('Facility Info Input'!$F$11&lt;=0,0,P87*'Facility Info Input'!$F$11)),0)</f>
        <v>0</v>
      </c>
      <c r="S87" s="32">
        <f>IFERROR(IF(StaffPayroll[[#This Row],[Annual Cost of Wage Increase included in Rate Adjustment]]=0,0,IF('Facility Info Input'!$F$12&lt;=0,0,P87*'Facility Info Input'!$F$12)),0)</f>
        <v>0</v>
      </c>
      <c r="T87" s="32">
        <f t="shared" si="2"/>
        <v>0</v>
      </c>
      <c r="U87" s="33">
        <f t="shared" si="3"/>
        <v>0</v>
      </c>
    </row>
    <row r="88" spans="1:21">
      <c r="A88" s="76"/>
      <c r="B88" s="77"/>
      <c r="C88" s="81"/>
      <c r="D88" s="82"/>
      <c r="E88" s="82"/>
      <c r="F88" s="83"/>
      <c r="G88" s="84"/>
      <c r="H88" s="85"/>
      <c r="I88" s="71" t="e">
        <f>#REF!&amp;" "&amp;StaffPayroll[[#This Row],[Employee ID Number / Code]]</f>
        <v>#REF!</v>
      </c>
      <c r="J88" s="71" t="str">
        <f>_xlfn.IFNA(VLOOKUP(StaffPayroll[[#This Row],[Position / Title]],Lists!A:C,3,FALSE),"")</f>
        <v/>
      </c>
      <c r="K88" s="71">
        <f>StaffPayroll[[#This Row],[Payroll Period Ends Date (Minimum two months)]]-StaffPayroll[[#This Row],[Payroll Period Begins Date        (Must start after 6/1/2025)]]+1</f>
        <v>1</v>
      </c>
      <c r="L88" s="38">
        <f>IFERROR(IF(VLOOKUP(J88,'Facility Info Input'!$B$25:$D$34,3,FALSE)="",1,VLOOKUP(J88,'Facility Info Input'!$B$25:$D$34,3,FALSE)),0)</f>
        <v>0</v>
      </c>
      <c r="M88" s="22" t="str">
        <f>IF(StaffPayroll[[#This Row],[Employee ID Number / Code]]="","",IF(StaffPayroll[[#This Row],[Position / Title]]="","",VLOOKUP(StaffPayroll[[#This Row],[Position / Title]],Lists!A:C,2,FALSE)))</f>
        <v/>
      </c>
      <c r="N88" s="22">
        <f>IF(C88="",0,StaffPayroll[[#This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8" s="31">
        <f>IF(StaffPayroll[[#This Row],[Hourly WSB  Wage Minimum]]="",0,StaffPayroll[[#This Row],[Annual NF Wage Costs after WSB Minimum]]-StaffPayroll[[#This Row],[Annual NF Wage Costs before WSB Minimum]])</f>
        <v>0</v>
      </c>
      <c r="Q88" s="31">
        <f>IFERROR(IF(StaffPayroll[[#This Row],[Annual Cost of Wage Increase included in Rate Adjustment]]=0,0,P88*'Facility Info Input'!$F$10),0)</f>
        <v>0</v>
      </c>
      <c r="R88" s="32">
        <f>IFERROR(IF(StaffPayroll[[#This Row],[Annual Cost of Wage Increase included in Rate Adjustment]]=0,0,IF('Facility Info Input'!$F$11&lt;=0,0,P88*'Facility Info Input'!$F$11)),0)</f>
        <v>0</v>
      </c>
      <c r="S88" s="32">
        <f>IFERROR(IF(StaffPayroll[[#This Row],[Annual Cost of Wage Increase included in Rate Adjustment]]=0,0,IF('Facility Info Input'!$F$12&lt;=0,0,P88*'Facility Info Input'!$F$12)),0)</f>
        <v>0</v>
      </c>
      <c r="T88" s="32">
        <f t="shared" si="2"/>
        <v>0</v>
      </c>
      <c r="U88" s="33">
        <f t="shared" si="3"/>
        <v>0</v>
      </c>
    </row>
    <row r="89" spans="1:21">
      <c r="A89" s="76"/>
      <c r="B89" s="77"/>
      <c r="C89" s="81"/>
      <c r="D89" s="82"/>
      <c r="E89" s="82"/>
      <c r="F89" s="83"/>
      <c r="G89" s="84"/>
      <c r="H89" s="85"/>
      <c r="I89" s="71" t="e">
        <f>#REF!&amp;" "&amp;StaffPayroll[[#This Row],[Employee ID Number / Code]]</f>
        <v>#REF!</v>
      </c>
      <c r="J89" s="71" t="str">
        <f>_xlfn.IFNA(VLOOKUP(StaffPayroll[[#This Row],[Position / Title]],Lists!A:C,3,FALSE),"")</f>
        <v/>
      </c>
      <c r="K89" s="71">
        <f>StaffPayroll[[#This Row],[Payroll Period Ends Date (Minimum two months)]]-StaffPayroll[[#This Row],[Payroll Period Begins Date        (Must start after 6/1/2025)]]+1</f>
        <v>1</v>
      </c>
      <c r="L89" s="38">
        <f>IFERROR(IF(VLOOKUP(J89,'Facility Info Input'!$B$25:$D$34,3,FALSE)="",1,VLOOKUP(J89,'Facility Info Input'!$B$25:$D$34,3,FALSE)),0)</f>
        <v>0</v>
      </c>
      <c r="M89" s="22" t="str">
        <f>IF(StaffPayroll[[#This Row],[Employee ID Number / Code]]="","",IF(StaffPayroll[[#This Row],[Position / Title]]="","",VLOOKUP(StaffPayroll[[#This Row],[Position / Title]],Lists!A:C,2,FALSE)))</f>
        <v/>
      </c>
      <c r="N89" s="22">
        <f>IF(C89="",0,StaffPayroll[[#This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8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89" s="31">
        <f>IF(StaffPayroll[[#This Row],[Hourly WSB  Wage Minimum]]="",0,StaffPayroll[[#This Row],[Annual NF Wage Costs after WSB Minimum]]-StaffPayroll[[#This Row],[Annual NF Wage Costs before WSB Minimum]])</f>
        <v>0</v>
      </c>
      <c r="Q89" s="31">
        <f>IFERROR(IF(StaffPayroll[[#This Row],[Annual Cost of Wage Increase included in Rate Adjustment]]=0,0,P89*'Facility Info Input'!$F$10),0)</f>
        <v>0</v>
      </c>
      <c r="R89" s="32">
        <f>IFERROR(IF(StaffPayroll[[#This Row],[Annual Cost of Wage Increase included in Rate Adjustment]]=0,0,IF('Facility Info Input'!$F$11&lt;=0,0,P89*'Facility Info Input'!$F$11)),0)</f>
        <v>0</v>
      </c>
      <c r="S89" s="32">
        <f>IFERROR(IF(StaffPayroll[[#This Row],[Annual Cost of Wage Increase included in Rate Adjustment]]=0,0,IF('Facility Info Input'!$F$12&lt;=0,0,P89*'Facility Info Input'!$F$12)),0)</f>
        <v>0</v>
      </c>
      <c r="T89" s="32">
        <f t="shared" si="2"/>
        <v>0</v>
      </c>
      <c r="U89" s="33">
        <f t="shared" si="3"/>
        <v>0</v>
      </c>
    </row>
    <row r="90" spans="1:21">
      <c r="A90" s="76"/>
      <c r="B90" s="77"/>
      <c r="C90" s="81"/>
      <c r="D90" s="82"/>
      <c r="E90" s="82"/>
      <c r="F90" s="83"/>
      <c r="G90" s="84"/>
      <c r="H90" s="85"/>
      <c r="I90" s="71" t="e">
        <f>#REF!&amp;" "&amp;StaffPayroll[[#This Row],[Employee ID Number / Code]]</f>
        <v>#REF!</v>
      </c>
      <c r="J90" s="71" t="str">
        <f>_xlfn.IFNA(VLOOKUP(StaffPayroll[[#This Row],[Position / Title]],Lists!A:C,3,FALSE),"")</f>
        <v/>
      </c>
      <c r="K90" s="71">
        <f>StaffPayroll[[#This Row],[Payroll Period Ends Date (Minimum two months)]]-StaffPayroll[[#This Row],[Payroll Period Begins Date        (Must start after 6/1/2025)]]+1</f>
        <v>1</v>
      </c>
      <c r="L90" s="38">
        <f>IFERROR(IF(VLOOKUP(J90,'Facility Info Input'!$B$25:$D$34,3,FALSE)="",1,VLOOKUP(J90,'Facility Info Input'!$B$25:$D$34,3,FALSE)),0)</f>
        <v>0</v>
      </c>
      <c r="M90" s="22" t="str">
        <f>IF(StaffPayroll[[#This Row],[Employee ID Number / Code]]="","",IF(StaffPayroll[[#This Row],[Position / Title]]="","",VLOOKUP(StaffPayroll[[#This Row],[Position / Title]],Lists!A:C,2,FALSE)))</f>
        <v/>
      </c>
      <c r="N90" s="22">
        <f>IF(C90="",0,StaffPayroll[[#This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0" s="31">
        <f>IF(StaffPayroll[[#This Row],[Hourly WSB  Wage Minimum]]="",0,StaffPayroll[[#This Row],[Annual NF Wage Costs after WSB Minimum]]-StaffPayroll[[#This Row],[Annual NF Wage Costs before WSB Minimum]])</f>
        <v>0</v>
      </c>
      <c r="Q90" s="31">
        <f>IFERROR(IF(StaffPayroll[[#This Row],[Annual Cost of Wage Increase included in Rate Adjustment]]=0,0,P90*'Facility Info Input'!$F$10),0)</f>
        <v>0</v>
      </c>
      <c r="R90" s="32">
        <f>IFERROR(IF(StaffPayroll[[#This Row],[Annual Cost of Wage Increase included in Rate Adjustment]]=0,0,IF('Facility Info Input'!$F$11&lt;=0,0,P90*'Facility Info Input'!$F$11)),0)</f>
        <v>0</v>
      </c>
      <c r="S90" s="32">
        <f>IFERROR(IF(StaffPayroll[[#This Row],[Annual Cost of Wage Increase included in Rate Adjustment]]=0,0,IF('Facility Info Input'!$F$12&lt;=0,0,P90*'Facility Info Input'!$F$12)),0)</f>
        <v>0</v>
      </c>
      <c r="T90" s="32">
        <f t="shared" si="2"/>
        <v>0</v>
      </c>
      <c r="U90" s="33">
        <f t="shared" si="3"/>
        <v>0</v>
      </c>
    </row>
    <row r="91" spans="1:21">
      <c r="A91" s="76"/>
      <c r="B91" s="77"/>
      <c r="C91" s="81"/>
      <c r="D91" s="82"/>
      <c r="E91" s="82"/>
      <c r="F91" s="83"/>
      <c r="G91" s="84"/>
      <c r="H91" s="85"/>
      <c r="I91" s="71" t="e">
        <f>#REF!&amp;" "&amp;StaffPayroll[[#This Row],[Employee ID Number / Code]]</f>
        <v>#REF!</v>
      </c>
      <c r="J91" s="71" t="str">
        <f>_xlfn.IFNA(VLOOKUP(StaffPayroll[[#This Row],[Position / Title]],Lists!A:C,3,FALSE),"")</f>
        <v/>
      </c>
      <c r="K91" s="71">
        <f>StaffPayroll[[#This Row],[Payroll Period Ends Date (Minimum two months)]]-StaffPayroll[[#This Row],[Payroll Period Begins Date        (Must start after 6/1/2025)]]+1</f>
        <v>1</v>
      </c>
      <c r="L91" s="38">
        <f>IFERROR(IF(VLOOKUP(J91,'Facility Info Input'!$B$25:$D$34,3,FALSE)="",1,VLOOKUP(J91,'Facility Info Input'!$B$25:$D$34,3,FALSE)),0)</f>
        <v>0</v>
      </c>
      <c r="M91" s="22" t="str">
        <f>IF(StaffPayroll[[#This Row],[Employee ID Number / Code]]="","",IF(StaffPayroll[[#This Row],[Position / Title]]="","",VLOOKUP(StaffPayroll[[#This Row],[Position / Title]],Lists!A:C,2,FALSE)))</f>
        <v/>
      </c>
      <c r="N91" s="22">
        <f>IF(C91="",0,StaffPayroll[[#This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1" s="31">
        <f>IF(StaffPayroll[[#This Row],[Hourly WSB  Wage Minimum]]="",0,StaffPayroll[[#This Row],[Annual NF Wage Costs after WSB Minimum]]-StaffPayroll[[#This Row],[Annual NF Wage Costs before WSB Minimum]])</f>
        <v>0</v>
      </c>
      <c r="Q91" s="31">
        <f>IFERROR(IF(StaffPayroll[[#This Row],[Annual Cost of Wage Increase included in Rate Adjustment]]=0,0,P91*'Facility Info Input'!$F$10),0)</f>
        <v>0</v>
      </c>
      <c r="R91" s="32">
        <f>IFERROR(IF(StaffPayroll[[#This Row],[Annual Cost of Wage Increase included in Rate Adjustment]]=0,0,IF('Facility Info Input'!$F$11&lt;=0,0,P91*'Facility Info Input'!$F$11)),0)</f>
        <v>0</v>
      </c>
      <c r="S91" s="32">
        <f>IFERROR(IF(StaffPayroll[[#This Row],[Annual Cost of Wage Increase included in Rate Adjustment]]=0,0,IF('Facility Info Input'!$F$12&lt;=0,0,P91*'Facility Info Input'!$F$12)),0)</f>
        <v>0</v>
      </c>
      <c r="T91" s="32">
        <f t="shared" si="2"/>
        <v>0</v>
      </c>
      <c r="U91" s="33">
        <f t="shared" si="3"/>
        <v>0</v>
      </c>
    </row>
    <row r="92" spans="1:21">
      <c r="A92" s="76"/>
      <c r="B92" s="77"/>
      <c r="C92" s="81"/>
      <c r="D92" s="82"/>
      <c r="E92" s="82"/>
      <c r="F92" s="83"/>
      <c r="G92" s="84"/>
      <c r="H92" s="85"/>
      <c r="I92" s="71" t="e">
        <f>#REF!&amp;" "&amp;StaffPayroll[[#This Row],[Employee ID Number / Code]]</f>
        <v>#REF!</v>
      </c>
      <c r="J92" s="71" t="str">
        <f>_xlfn.IFNA(VLOOKUP(StaffPayroll[[#This Row],[Position / Title]],Lists!A:C,3,FALSE),"")</f>
        <v/>
      </c>
      <c r="K92" s="71">
        <f>StaffPayroll[[#This Row],[Payroll Period Ends Date (Minimum two months)]]-StaffPayroll[[#This Row],[Payroll Period Begins Date        (Must start after 6/1/2025)]]+1</f>
        <v>1</v>
      </c>
      <c r="L92" s="38">
        <f>IFERROR(IF(VLOOKUP(J92,'Facility Info Input'!$B$25:$D$34,3,FALSE)="",1,VLOOKUP(J92,'Facility Info Input'!$B$25:$D$34,3,FALSE)),0)</f>
        <v>0</v>
      </c>
      <c r="M92" s="22" t="str">
        <f>IF(StaffPayroll[[#This Row],[Employee ID Number / Code]]="","",IF(StaffPayroll[[#This Row],[Position / Title]]="","",VLOOKUP(StaffPayroll[[#This Row],[Position / Title]],Lists!A:C,2,FALSE)))</f>
        <v/>
      </c>
      <c r="N92" s="22">
        <f>IF(C92="",0,StaffPayroll[[#This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2" s="31">
        <f>IF(StaffPayroll[[#This Row],[Hourly WSB  Wage Minimum]]="",0,StaffPayroll[[#This Row],[Annual NF Wage Costs after WSB Minimum]]-StaffPayroll[[#This Row],[Annual NF Wage Costs before WSB Minimum]])</f>
        <v>0</v>
      </c>
      <c r="Q92" s="31">
        <f>IFERROR(IF(StaffPayroll[[#This Row],[Annual Cost of Wage Increase included in Rate Adjustment]]=0,0,P92*'Facility Info Input'!$F$10),0)</f>
        <v>0</v>
      </c>
      <c r="R92" s="32">
        <f>IFERROR(IF(StaffPayroll[[#This Row],[Annual Cost of Wage Increase included in Rate Adjustment]]=0,0,IF('Facility Info Input'!$F$11&lt;=0,0,P92*'Facility Info Input'!$F$11)),0)</f>
        <v>0</v>
      </c>
      <c r="S92" s="32">
        <f>IFERROR(IF(StaffPayroll[[#This Row],[Annual Cost of Wage Increase included in Rate Adjustment]]=0,0,IF('Facility Info Input'!$F$12&lt;=0,0,P92*'Facility Info Input'!$F$12)),0)</f>
        <v>0</v>
      </c>
      <c r="T92" s="32">
        <f t="shared" si="2"/>
        <v>0</v>
      </c>
      <c r="U92" s="33">
        <f t="shared" si="3"/>
        <v>0</v>
      </c>
    </row>
    <row r="93" spans="1:21">
      <c r="A93" s="76"/>
      <c r="B93" s="77"/>
      <c r="C93" s="81"/>
      <c r="D93" s="82"/>
      <c r="E93" s="82"/>
      <c r="F93" s="83"/>
      <c r="G93" s="84"/>
      <c r="H93" s="85"/>
      <c r="I93" s="71" t="e">
        <f>#REF!&amp;" "&amp;StaffPayroll[[#This Row],[Employee ID Number / Code]]</f>
        <v>#REF!</v>
      </c>
      <c r="J93" s="71" t="str">
        <f>_xlfn.IFNA(VLOOKUP(StaffPayroll[[#This Row],[Position / Title]],Lists!A:C,3,FALSE),"")</f>
        <v/>
      </c>
      <c r="K93" s="71">
        <f>StaffPayroll[[#This Row],[Payroll Period Ends Date (Minimum two months)]]-StaffPayroll[[#This Row],[Payroll Period Begins Date        (Must start after 6/1/2025)]]+1</f>
        <v>1</v>
      </c>
      <c r="L93" s="38">
        <f>IFERROR(IF(VLOOKUP(J93,'Facility Info Input'!$B$25:$D$34,3,FALSE)="",1,VLOOKUP(J93,'Facility Info Input'!$B$25:$D$34,3,FALSE)),0)</f>
        <v>0</v>
      </c>
      <c r="M93" s="22" t="str">
        <f>IF(StaffPayroll[[#This Row],[Employee ID Number / Code]]="","",IF(StaffPayroll[[#This Row],[Position / Title]]="","",VLOOKUP(StaffPayroll[[#This Row],[Position / Title]],Lists!A:C,2,FALSE)))</f>
        <v/>
      </c>
      <c r="N93" s="22">
        <f>IF(C93="",0,StaffPayroll[[#This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3" s="31">
        <f>IF(StaffPayroll[[#This Row],[Hourly WSB  Wage Minimum]]="",0,StaffPayroll[[#This Row],[Annual NF Wage Costs after WSB Minimum]]-StaffPayroll[[#This Row],[Annual NF Wage Costs before WSB Minimum]])</f>
        <v>0</v>
      </c>
      <c r="Q93" s="31">
        <f>IFERROR(IF(StaffPayroll[[#This Row],[Annual Cost of Wage Increase included in Rate Adjustment]]=0,0,P93*'Facility Info Input'!$F$10),0)</f>
        <v>0</v>
      </c>
      <c r="R93" s="32">
        <f>IFERROR(IF(StaffPayroll[[#This Row],[Annual Cost of Wage Increase included in Rate Adjustment]]=0,0,IF('Facility Info Input'!$F$11&lt;=0,0,P93*'Facility Info Input'!$F$11)),0)</f>
        <v>0</v>
      </c>
      <c r="S93" s="32">
        <f>IFERROR(IF(StaffPayroll[[#This Row],[Annual Cost of Wage Increase included in Rate Adjustment]]=0,0,IF('Facility Info Input'!$F$12&lt;=0,0,P93*'Facility Info Input'!$F$12)),0)</f>
        <v>0</v>
      </c>
      <c r="T93" s="32">
        <f t="shared" si="2"/>
        <v>0</v>
      </c>
      <c r="U93" s="33">
        <f t="shared" si="3"/>
        <v>0</v>
      </c>
    </row>
    <row r="94" spans="1:21">
      <c r="A94" s="76"/>
      <c r="B94" s="77"/>
      <c r="C94" s="81"/>
      <c r="D94" s="82"/>
      <c r="E94" s="82"/>
      <c r="F94" s="83"/>
      <c r="G94" s="84"/>
      <c r="H94" s="85"/>
      <c r="I94" s="71" t="e">
        <f>#REF!&amp;" "&amp;StaffPayroll[[#This Row],[Employee ID Number / Code]]</f>
        <v>#REF!</v>
      </c>
      <c r="J94" s="71" t="str">
        <f>_xlfn.IFNA(VLOOKUP(StaffPayroll[[#This Row],[Position / Title]],Lists!A:C,3,FALSE),"")</f>
        <v/>
      </c>
      <c r="K94" s="71">
        <f>StaffPayroll[[#This Row],[Payroll Period Ends Date (Minimum two months)]]-StaffPayroll[[#This Row],[Payroll Period Begins Date        (Must start after 6/1/2025)]]+1</f>
        <v>1</v>
      </c>
      <c r="L94" s="38">
        <f>IFERROR(IF(VLOOKUP(J94,'Facility Info Input'!$B$25:$D$34,3,FALSE)="",1,VLOOKUP(J94,'Facility Info Input'!$B$25:$D$34,3,FALSE)),0)</f>
        <v>0</v>
      </c>
      <c r="M94" s="22" t="str">
        <f>IF(StaffPayroll[[#This Row],[Employee ID Number / Code]]="","",IF(StaffPayroll[[#This Row],[Position / Title]]="","",VLOOKUP(StaffPayroll[[#This Row],[Position / Title]],Lists!A:C,2,FALSE)))</f>
        <v/>
      </c>
      <c r="N94" s="22">
        <f>IF(C94="",0,StaffPayroll[[#This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4" s="31">
        <f>IF(StaffPayroll[[#This Row],[Hourly WSB  Wage Minimum]]="",0,StaffPayroll[[#This Row],[Annual NF Wage Costs after WSB Minimum]]-StaffPayroll[[#This Row],[Annual NF Wage Costs before WSB Minimum]])</f>
        <v>0</v>
      </c>
      <c r="Q94" s="31">
        <f>IFERROR(IF(StaffPayroll[[#This Row],[Annual Cost of Wage Increase included in Rate Adjustment]]=0,0,P94*'Facility Info Input'!$F$10),0)</f>
        <v>0</v>
      </c>
      <c r="R94" s="32">
        <f>IFERROR(IF(StaffPayroll[[#This Row],[Annual Cost of Wage Increase included in Rate Adjustment]]=0,0,IF('Facility Info Input'!$F$11&lt;=0,0,P94*'Facility Info Input'!$F$11)),0)</f>
        <v>0</v>
      </c>
      <c r="S94" s="32">
        <f>IFERROR(IF(StaffPayroll[[#This Row],[Annual Cost of Wage Increase included in Rate Adjustment]]=0,0,IF('Facility Info Input'!$F$12&lt;=0,0,P94*'Facility Info Input'!$F$12)),0)</f>
        <v>0</v>
      </c>
      <c r="T94" s="32">
        <f t="shared" si="2"/>
        <v>0</v>
      </c>
      <c r="U94" s="33">
        <f t="shared" si="3"/>
        <v>0</v>
      </c>
    </row>
    <row r="95" spans="1:21">
      <c r="A95" s="76"/>
      <c r="B95" s="77"/>
      <c r="C95" s="81"/>
      <c r="D95" s="82"/>
      <c r="E95" s="82"/>
      <c r="F95" s="83"/>
      <c r="G95" s="84"/>
      <c r="H95" s="85"/>
      <c r="I95" s="71" t="e">
        <f>#REF!&amp;" "&amp;StaffPayroll[[#This Row],[Employee ID Number / Code]]</f>
        <v>#REF!</v>
      </c>
      <c r="J95" s="71" t="str">
        <f>_xlfn.IFNA(VLOOKUP(StaffPayroll[[#This Row],[Position / Title]],Lists!A:C,3,FALSE),"")</f>
        <v/>
      </c>
      <c r="K95" s="71">
        <f>StaffPayroll[[#This Row],[Payroll Period Ends Date (Minimum two months)]]-StaffPayroll[[#This Row],[Payroll Period Begins Date        (Must start after 6/1/2025)]]+1</f>
        <v>1</v>
      </c>
      <c r="L95" s="38">
        <f>IFERROR(IF(VLOOKUP(J95,'Facility Info Input'!$B$25:$D$34,3,FALSE)="",1,VLOOKUP(J95,'Facility Info Input'!$B$25:$D$34,3,FALSE)),0)</f>
        <v>0</v>
      </c>
      <c r="M95" s="22" t="str">
        <f>IF(StaffPayroll[[#This Row],[Employee ID Number / Code]]="","",IF(StaffPayroll[[#This Row],[Position / Title]]="","",VLOOKUP(StaffPayroll[[#This Row],[Position / Title]],Lists!A:C,2,FALSE)))</f>
        <v/>
      </c>
      <c r="N95" s="22">
        <f>IF(C95="",0,StaffPayroll[[#This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5" s="31">
        <f>IF(StaffPayroll[[#This Row],[Hourly WSB  Wage Minimum]]="",0,StaffPayroll[[#This Row],[Annual NF Wage Costs after WSB Minimum]]-StaffPayroll[[#This Row],[Annual NF Wage Costs before WSB Minimum]])</f>
        <v>0</v>
      </c>
      <c r="Q95" s="31">
        <f>IFERROR(IF(StaffPayroll[[#This Row],[Annual Cost of Wage Increase included in Rate Adjustment]]=0,0,P95*'Facility Info Input'!$F$10),0)</f>
        <v>0</v>
      </c>
      <c r="R95" s="32">
        <f>IFERROR(IF(StaffPayroll[[#This Row],[Annual Cost of Wage Increase included in Rate Adjustment]]=0,0,IF('Facility Info Input'!$F$11&lt;=0,0,P95*'Facility Info Input'!$F$11)),0)</f>
        <v>0</v>
      </c>
      <c r="S95" s="32">
        <f>IFERROR(IF(StaffPayroll[[#This Row],[Annual Cost of Wage Increase included in Rate Adjustment]]=0,0,IF('Facility Info Input'!$F$12&lt;=0,0,P95*'Facility Info Input'!$F$12)),0)</f>
        <v>0</v>
      </c>
      <c r="T95" s="32">
        <f t="shared" si="2"/>
        <v>0</v>
      </c>
      <c r="U95" s="33">
        <f t="shared" si="3"/>
        <v>0</v>
      </c>
    </row>
    <row r="96" spans="1:21">
      <c r="A96" s="76"/>
      <c r="B96" s="77"/>
      <c r="C96" s="81"/>
      <c r="D96" s="82"/>
      <c r="E96" s="82"/>
      <c r="F96" s="83"/>
      <c r="G96" s="84"/>
      <c r="H96" s="85"/>
      <c r="I96" s="71" t="e">
        <f>#REF!&amp;" "&amp;StaffPayroll[[#This Row],[Employee ID Number / Code]]</f>
        <v>#REF!</v>
      </c>
      <c r="J96" s="71" t="str">
        <f>_xlfn.IFNA(VLOOKUP(StaffPayroll[[#This Row],[Position / Title]],Lists!A:C,3,FALSE),"")</f>
        <v/>
      </c>
      <c r="K96" s="71">
        <f>StaffPayroll[[#This Row],[Payroll Period Ends Date (Minimum two months)]]-StaffPayroll[[#This Row],[Payroll Period Begins Date        (Must start after 6/1/2025)]]+1</f>
        <v>1</v>
      </c>
      <c r="L96" s="38">
        <f>IFERROR(IF(VLOOKUP(J96,'Facility Info Input'!$B$25:$D$34,3,FALSE)="",1,VLOOKUP(J96,'Facility Info Input'!$B$25:$D$34,3,FALSE)),0)</f>
        <v>0</v>
      </c>
      <c r="M96" s="22" t="str">
        <f>IF(StaffPayroll[[#This Row],[Employee ID Number / Code]]="","",IF(StaffPayroll[[#This Row],[Position / Title]]="","",VLOOKUP(StaffPayroll[[#This Row],[Position / Title]],Lists!A:C,2,FALSE)))</f>
        <v/>
      </c>
      <c r="N96" s="22">
        <f>IF(C96="",0,StaffPayroll[[#This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6" s="31">
        <f>IF(StaffPayroll[[#This Row],[Hourly WSB  Wage Minimum]]="",0,StaffPayroll[[#This Row],[Annual NF Wage Costs after WSB Minimum]]-StaffPayroll[[#This Row],[Annual NF Wage Costs before WSB Minimum]])</f>
        <v>0</v>
      </c>
      <c r="Q96" s="31">
        <f>IFERROR(IF(StaffPayroll[[#This Row],[Annual Cost of Wage Increase included in Rate Adjustment]]=0,0,P96*'Facility Info Input'!$F$10),0)</f>
        <v>0</v>
      </c>
      <c r="R96" s="32">
        <f>IFERROR(IF(StaffPayroll[[#This Row],[Annual Cost of Wage Increase included in Rate Adjustment]]=0,0,IF('Facility Info Input'!$F$11&lt;=0,0,P96*'Facility Info Input'!$F$11)),0)</f>
        <v>0</v>
      </c>
      <c r="S96" s="32">
        <f>IFERROR(IF(StaffPayroll[[#This Row],[Annual Cost of Wage Increase included in Rate Adjustment]]=0,0,IF('Facility Info Input'!$F$12&lt;=0,0,P96*'Facility Info Input'!$F$12)),0)</f>
        <v>0</v>
      </c>
      <c r="T96" s="32">
        <f t="shared" si="2"/>
        <v>0</v>
      </c>
      <c r="U96" s="33">
        <f t="shared" si="3"/>
        <v>0</v>
      </c>
    </row>
    <row r="97" spans="1:21">
      <c r="A97" s="76"/>
      <c r="B97" s="77"/>
      <c r="C97" s="81"/>
      <c r="D97" s="82"/>
      <c r="E97" s="82"/>
      <c r="F97" s="83"/>
      <c r="G97" s="84"/>
      <c r="H97" s="85"/>
      <c r="I97" s="71" t="e">
        <f>#REF!&amp;" "&amp;StaffPayroll[[#This Row],[Employee ID Number / Code]]</f>
        <v>#REF!</v>
      </c>
      <c r="J97" s="71" t="str">
        <f>_xlfn.IFNA(VLOOKUP(StaffPayroll[[#This Row],[Position / Title]],Lists!A:C,3,FALSE),"")</f>
        <v/>
      </c>
      <c r="K97" s="71">
        <f>StaffPayroll[[#This Row],[Payroll Period Ends Date (Minimum two months)]]-StaffPayroll[[#This Row],[Payroll Period Begins Date        (Must start after 6/1/2025)]]+1</f>
        <v>1</v>
      </c>
      <c r="L97" s="38">
        <f>IFERROR(IF(VLOOKUP(J97,'Facility Info Input'!$B$25:$D$34,3,FALSE)="",1,VLOOKUP(J97,'Facility Info Input'!$B$25:$D$34,3,FALSE)),0)</f>
        <v>0</v>
      </c>
      <c r="M97" s="22" t="str">
        <f>IF(StaffPayroll[[#This Row],[Employee ID Number / Code]]="","",IF(StaffPayroll[[#This Row],[Position / Title]]="","",VLOOKUP(StaffPayroll[[#This Row],[Position / Title]],Lists!A:C,2,FALSE)))</f>
        <v/>
      </c>
      <c r="N97" s="22">
        <f>IF(C97="",0,StaffPayroll[[#This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7" s="31">
        <f>IF(StaffPayroll[[#This Row],[Hourly WSB  Wage Minimum]]="",0,StaffPayroll[[#This Row],[Annual NF Wage Costs after WSB Minimum]]-StaffPayroll[[#This Row],[Annual NF Wage Costs before WSB Minimum]])</f>
        <v>0</v>
      </c>
      <c r="Q97" s="31">
        <f>IFERROR(IF(StaffPayroll[[#This Row],[Annual Cost of Wage Increase included in Rate Adjustment]]=0,0,P97*'Facility Info Input'!$F$10),0)</f>
        <v>0</v>
      </c>
      <c r="R97" s="32">
        <f>IFERROR(IF(StaffPayroll[[#This Row],[Annual Cost of Wage Increase included in Rate Adjustment]]=0,0,IF('Facility Info Input'!$F$11&lt;=0,0,P97*'Facility Info Input'!$F$11)),0)</f>
        <v>0</v>
      </c>
      <c r="S97" s="32">
        <f>IFERROR(IF(StaffPayroll[[#This Row],[Annual Cost of Wage Increase included in Rate Adjustment]]=0,0,IF('Facility Info Input'!$F$12&lt;=0,0,P97*'Facility Info Input'!$F$12)),0)</f>
        <v>0</v>
      </c>
      <c r="T97" s="32">
        <f t="shared" si="2"/>
        <v>0</v>
      </c>
      <c r="U97" s="33">
        <f t="shared" si="3"/>
        <v>0</v>
      </c>
    </row>
    <row r="98" spans="1:21">
      <c r="A98" s="76"/>
      <c r="B98" s="77"/>
      <c r="C98" s="81"/>
      <c r="D98" s="82"/>
      <c r="E98" s="82"/>
      <c r="F98" s="83"/>
      <c r="G98" s="84"/>
      <c r="H98" s="85"/>
      <c r="I98" s="71" t="e">
        <f>#REF!&amp;" "&amp;StaffPayroll[[#This Row],[Employee ID Number / Code]]</f>
        <v>#REF!</v>
      </c>
      <c r="J98" s="71" t="str">
        <f>_xlfn.IFNA(VLOOKUP(StaffPayroll[[#This Row],[Position / Title]],Lists!A:C,3,FALSE),"")</f>
        <v/>
      </c>
      <c r="K98" s="71">
        <f>StaffPayroll[[#This Row],[Payroll Period Ends Date (Minimum two months)]]-StaffPayroll[[#This Row],[Payroll Period Begins Date        (Must start after 6/1/2025)]]+1</f>
        <v>1</v>
      </c>
      <c r="L98" s="38">
        <f>IFERROR(IF(VLOOKUP(J98,'Facility Info Input'!$B$25:$D$34,3,FALSE)="",1,VLOOKUP(J98,'Facility Info Input'!$B$25:$D$34,3,FALSE)),0)</f>
        <v>0</v>
      </c>
      <c r="M98" s="22" t="str">
        <f>IF(StaffPayroll[[#This Row],[Employee ID Number / Code]]="","",IF(StaffPayroll[[#This Row],[Position / Title]]="","",VLOOKUP(StaffPayroll[[#This Row],[Position / Title]],Lists!A:C,2,FALSE)))</f>
        <v/>
      </c>
      <c r="N98" s="22">
        <f>IF(C98="",0,StaffPayroll[[#This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8" s="31">
        <f>IF(StaffPayroll[[#This Row],[Hourly WSB  Wage Minimum]]="",0,StaffPayroll[[#This Row],[Annual NF Wage Costs after WSB Minimum]]-StaffPayroll[[#This Row],[Annual NF Wage Costs before WSB Minimum]])</f>
        <v>0</v>
      </c>
      <c r="Q98" s="31">
        <f>IFERROR(IF(StaffPayroll[[#This Row],[Annual Cost of Wage Increase included in Rate Adjustment]]=0,0,P98*'Facility Info Input'!$F$10),0)</f>
        <v>0</v>
      </c>
      <c r="R98" s="32">
        <f>IFERROR(IF(StaffPayroll[[#This Row],[Annual Cost of Wage Increase included in Rate Adjustment]]=0,0,IF('Facility Info Input'!$F$11&lt;=0,0,P98*'Facility Info Input'!$F$11)),0)</f>
        <v>0</v>
      </c>
      <c r="S98" s="32">
        <f>IFERROR(IF(StaffPayroll[[#This Row],[Annual Cost of Wage Increase included in Rate Adjustment]]=0,0,IF('Facility Info Input'!$F$12&lt;=0,0,P98*'Facility Info Input'!$F$12)),0)</f>
        <v>0</v>
      </c>
      <c r="T98" s="32">
        <f t="shared" si="2"/>
        <v>0</v>
      </c>
      <c r="U98" s="33">
        <f t="shared" si="3"/>
        <v>0</v>
      </c>
    </row>
    <row r="99" spans="1:21">
      <c r="A99" s="76"/>
      <c r="B99" s="77"/>
      <c r="C99" s="81"/>
      <c r="D99" s="82"/>
      <c r="E99" s="82"/>
      <c r="F99" s="83"/>
      <c r="G99" s="84"/>
      <c r="H99" s="85"/>
      <c r="I99" s="71" t="e">
        <f>#REF!&amp;" "&amp;StaffPayroll[[#This Row],[Employee ID Number / Code]]</f>
        <v>#REF!</v>
      </c>
      <c r="J99" s="71" t="str">
        <f>_xlfn.IFNA(VLOOKUP(StaffPayroll[[#This Row],[Position / Title]],Lists!A:C,3,FALSE),"")</f>
        <v/>
      </c>
      <c r="K99" s="71">
        <f>StaffPayroll[[#This Row],[Payroll Period Ends Date (Minimum two months)]]-StaffPayroll[[#This Row],[Payroll Period Begins Date        (Must start after 6/1/2025)]]+1</f>
        <v>1</v>
      </c>
      <c r="L99" s="38">
        <f>IFERROR(IF(VLOOKUP(J99,'Facility Info Input'!$B$25:$D$34,3,FALSE)="",1,VLOOKUP(J99,'Facility Info Input'!$B$25:$D$34,3,FALSE)),0)</f>
        <v>0</v>
      </c>
      <c r="M99" s="22" t="str">
        <f>IF(StaffPayroll[[#This Row],[Employee ID Number / Code]]="","",IF(StaffPayroll[[#This Row],[Position / Title]]="","",VLOOKUP(StaffPayroll[[#This Row],[Position / Title]],Lists!A:C,2,FALSE)))</f>
        <v/>
      </c>
      <c r="N99" s="22">
        <f>IF(C99="",0,StaffPayroll[[#This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9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99" s="31">
        <f>IF(StaffPayroll[[#This Row],[Hourly WSB  Wage Minimum]]="",0,StaffPayroll[[#This Row],[Annual NF Wage Costs after WSB Minimum]]-StaffPayroll[[#This Row],[Annual NF Wage Costs before WSB Minimum]])</f>
        <v>0</v>
      </c>
      <c r="Q99" s="31">
        <f>IFERROR(IF(StaffPayroll[[#This Row],[Annual Cost of Wage Increase included in Rate Adjustment]]=0,0,P99*'Facility Info Input'!$F$10),0)</f>
        <v>0</v>
      </c>
      <c r="R99" s="32">
        <f>IFERROR(IF(StaffPayroll[[#This Row],[Annual Cost of Wage Increase included in Rate Adjustment]]=0,0,IF('Facility Info Input'!$F$11&lt;=0,0,P99*'Facility Info Input'!$F$11)),0)</f>
        <v>0</v>
      </c>
      <c r="S99" s="32">
        <f>IFERROR(IF(StaffPayroll[[#This Row],[Annual Cost of Wage Increase included in Rate Adjustment]]=0,0,IF('Facility Info Input'!$F$12&lt;=0,0,P99*'Facility Info Input'!$F$12)),0)</f>
        <v>0</v>
      </c>
      <c r="T99" s="32">
        <f t="shared" si="2"/>
        <v>0</v>
      </c>
      <c r="U99" s="33">
        <f t="shared" si="3"/>
        <v>0</v>
      </c>
    </row>
    <row r="100" spans="1:21">
      <c r="A100" s="76"/>
      <c r="B100" s="77"/>
      <c r="C100" s="81"/>
      <c r="D100" s="82"/>
      <c r="E100" s="82"/>
      <c r="F100" s="83"/>
      <c r="G100" s="84"/>
      <c r="H100" s="85"/>
      <c r="I100" s="71" t="e">
        <f>#REF!&amp;" "&amp;StaffPayroll[[#This Row],[Employee ID Number / Code]]</f>
        <v>#REF!</v>
      </c>
      <c r="J100" s="71" t="str">
        <f>_xlfn.IFNA(VLOOKUP(StaffPayroll[[#This Row],[Position / Title]],Lists!A:C,3,FALSE),"")</f>
        <v/>
      </c>
      <c r="K100" s="71">
        <f>StaffPayroll[[#This Row],[Payroll Period Ends Date (Minimum two months)]]-StaffPayroll[[#This Row],[Payroll Period Begins Date        (Must start after 6/1/2025)]]+1</f>
        <v>1</v>
      </c>
      <c r="L100" s="38">
        <f>IFERROR(IF(VLOOKUP(J100,'Facility Info Input'!$B$25:$D$34,3,FALSE)="",1,VLOOKUP(J100,'Facility Info Input'!$B$25:$D$34,3,FALSE)),0)</f>
        <v>0</v>
      </c>
      <c r="M100" s="22" t="str">
        <f>IF(StaffPayroll[[#This Row],[Employee ID Number / Code]]="","",IF(StaffPayroll[[#This Row],[Position / Title]]="","",VLOOKUP(StaffPayroll[[#This Row],[Position / Title]],Lists!A:C,2,FALSE)))</f>
        <v/>
      </c>
      <c r="N100" s="22">
        <f>IF(C100="",0,StaffPayroll[[#This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0" s="31">
        <f>IF(StaffPayroll[[#This Row],[Hourly WSB  Wage Minimum]]="",0,StaffPayroll[[#This Row],[Annual NF Wage Costs after WSB Minimum]]-StaffPayroll[[#This Row],[Annual NF Wage Costs before WSB Minimum]])</f>
        <v>0</v>
      </c>
      <c r="Q100" s="31">
        <f>IFERROR(IF(StaffPayroll[[#This Row],[Annual Cost of Wage Increase included in Rate Adjustment]]=0,0,P100*'Facility Info Input'!$F$10),0)</f>
        <v>0</v>
      </c>
      <c r="R100" s="32">
        <f>IFERROR(IF(StaffPayroll[[#This Row],[Annual Cost of Wage Increase included in Rate Adjustment]]=0,0,IF('Facility Info Input'!$F$11&lt;=0,0,P100*'Facility Info Input'!$F$11)),0)</f>
        <v>0</v>
      </c>
      <c r="S100" s="32">
        <f>IFERROR(IF(StaffPayroll[[#This Row],[Annual Cost of Wage Increase included in Rate Adjustment]]=0,0,IF('Facility Info Input'!$F$12&lt;=0,0,P100*'Facility Info Input'!$F$12)),0)</f>
        <v>0</v>
      </c>
      <c r="T100" s="32">
        <f t="shared" si="2"/>
        <v>0</v>
      </c>
      <c r="U100" s="33">
        <f t="shared" si="3"/>
        <v>0</v>
      </c>
    </row>
    <row r="101" spans="1:21">
      <c r="A101" s="76"/>
      <c r="B101" s="77"/>
      <c r="C101" s="81"/>
      <c r="D101" s="82"/>
      <c r="E101" s="82"/>
      <c r="F101" s="83"/>
      <c r="G101" s="84"/>
      <c r="H101" s="85"/>
      <c r="I101" s="71" t="e">
        <f>#REF!&amp;" "&amp;StaffPayroll[[#This Row],[Employee ID Number / Code]]</f>
        <v>#REF!</v>
      </c>
      <c r="J101" s="71" t="str">
        <f>_xlfn.IFNA(VLOOKUP(StaffPayroll[[#This Row],[Position / Title]],Lists!A:C,3,FALSE),"")</f>
        <v/>
      </c>
      <c r="K101" s="71">
        <f>StaffPayroll[[#This Row],[Payroll Period Ends Date (Minimum two months)]]-StaffPayroll[[#This Row],[Payroll Period Begins Date        (Must start after 6/1/2025)]]+1</f>
        <v>1</v>
      </c>
      <c r="L101" s="38">
        <f>IFERROR(IF(VLOOKUP(J101,'Facility Info Input'!$B$25:$D$34,3,FALSE)="",1,VLOOKUP(J101,'Facility Info Input'!$B$25:$D$34,3,FALSE)),0)</f>
        <v>0</v>
      </c>
      <c r="M101" s="22" t="str">
        <f>IF(StaffPayroll[[#This Row],[Employee ID Number / Code]]="","",IF(StaffPayroll[[#This Row],[Position / Title]]="","",VLOOKUP(StaffPayroll[[#This Row],[Position / Title]],Lists!A:C,2,FALSE)))</f>
        <v/>
      </c>
      <c r="N101" s="22">
        <f>IF(C101="",0,StaffPayroll[[#This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1" s="31">
        <f>IF(StaffPayroll[[#This Row],[Hourly WSB  Wage Minimum]]="",0,StaffPayroll[[#This Row],[Annual NF Wage Costs after WSB Minimum]]-StaffPayroll[[#This Row],[Annual NF Wage Costs before WSB Minimum]])</f>
        <v>0</v>
      </c>
      <c r="Q101" s="31">
        <f>IFERROR(IF(StaffPayroll[[#This Row],[Annual Cost of Wage Increase included in Rate Adjustment]]=0,0,P101*'Facility Info Input'!$F$10),0)</f>
        <v>0</v>
      </c>
      <c r="R101" s="32">
        <f>IFERROR(IF(StaffPayroll[[#This Row],[Annual Cost of Wage Increase included in Rate Adjustment]]=0,0,IF('Facility Info Input'!$F$11&lt;=0,0,P101*'Facility Info Input'!$F$11)),0)</f>
        <v>0</v>
      </c>
      <c r="S101" s="32">
        <f>IFERROR(IF(StaffPayroll[[#This Row],[Annual Cost of Wage Increase included in Rate Adjustment]]=0,0,IF('Facility Info Input'!$F$12&lt;=0,0,P101*'Facility Info Input'!$F$12)),0)</f>
        <v>0</v>
      </c>
      <c r="T101" s="32">
        <f t="shared" si="2"/>
        <v>0</v>
      </c>
      <c r="U101" s="33">
        <f t="shared" si="3"/>
        <v>0</v>
      </c>
    </row>
    <row r="102" spans="1:21">
      <c r="A102" s="76"/>
      <c r="B102" s="77"/>
      <c r="C102" s="81"/>
      <c r="D102" s="82"/>
      <c r="E102" s="82"/>
      <c r="F102" s="83"/>
      <c r="G102" s="84"/>
      <c r="H102" s="85"/>
      <c r="I102" s="71" t="e">
        <f>#REF!&amp;" "&amp;StaffPayroll[[#This Row],[Employee ID Number / Code]]</f>
        <v>#REF!</v>
      </c>
      <c r="J102" s="71" t="str">
        <f>_xlfn.IFNA(VLOOKUP(StaffPayroll[[#This Row],[Position / Title]],Lists!A:C,3,FALSE),"")</f>
        <v/>
      </c>
      <c r="K102" s="71">
        <f>StaffPayroll[[#This Row],[Payroll Period Ends Date (Minimum two months)]]-StaffPayroll[[#This Row],[Payroll Period Begins Date        (Must start after 6/1/2025)]]+1</f>
        <v>1</v>
      </c>
      <c r="L102" s="38">
        <f>IFERROR(IF(VLOOKUP(J102,'Facility Info Input'!$B$25:$D$34,3,FALSE)="",1,VLOOKUP(J102,'Facility Info Input'!$B$25:$D$34,3,FALSE)),0)</f>
        <v>0</v>
      </c>
      <c r="M102" s="22" t="str">
        <f>IF(StaffPayroll[[#This Row],[Employee ID Number / Code]]="","",IF(StaffPayroll[[#This Row],[Position / Title]]="","",VLOOKUP(StaffPayroll[[#This Row],[Position / Title]],Lists!A:C,2,FALSE)))</f>
        <v/>
      </c>
      <c r="N102" s="22">
        <f>IF(C102="",0,StaffPayroll[[#This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2" s="31">
        <f>IF(StaffPayroll[[#This Row],[Hourly WSB  Wage Minimum]]="",0,StaffPayroll[[#This Row],[Annual NF Wage Costs after WSB Minimum]]-StaffPayroll[[#This Row],[Annual NF Wage Costs before WSB Minimum]])</f>
        <v>0</v>
      </c>
      <c r="Q102" s="31">
        <f>IFERROR(IF(StaffPayroll[[#This Row],[Annual Cost of Wage Increase included in Rate Adjustment]]=0,0,P102*'Facility Info Input'!$F$10),0)</f>
        <v>0</v>
      </c>
      <c r="R102" s="32">
        <f>IFERROR(IF(StaffPayroll[[#This Row],[Annual Cost of Wage Increase included in Rate Adjustment]]=0,0,IF('Facility Info Input'!$F$11&lt;=0,0,P102*'Facility Info Input'!$F$11)),0)</f>
        <v>0</v>
      </c>
      <c r="S102" s="32">
        <f>IFERROR(IF(StaffPayroll[[#This Row],[Annual Cost of Wage Increase included in Rate Adjustment]]=0,0,IF('Facility Info Input'!$F$12&lt;=0,0,P102*'Facility Info Input'!$F$12)),0)</f>
        <v>0</v>
      </c>
      <c r="T102" s="32">
        <f t="shared" si="2"/>
        <v>0</v>
      </c>
      <c r="U102" s="33">
        <f t="shared" si="3"/>
        <v>0</v>
      </c>
    </row>
    <row r="103" spans="1:21">
      <c r="A103" s="76"/>
      <c r="B103" s="77"/>
      <c r="C103" s="81"/>
      <c r="D103" s="82"/>
      <c r="E103" s="82"/>
      <c r="F103" s="83"/>
      <c r="G103" s="84"/>
      <c r="H103" s="85"/>
      <c r="I103" s="71" t="e">
        <f>#REF!&amp;" "&amp;StaffPayroll[[#This Row],[Employee ID Number / Code]]</f>
        <v>#REF!</v>
      </c>
      <c r="J103" s="71" t="str">
        <f>_xlfn.IFNA(VLOOKUP(StaffPayroll[[#This Row],[Position / Title]],Lists!A:C,3,FALSE),"")</f>
        <v/>
      </c>
      <c r="K103" s="71">
        <f>StaffPayroll[[#This Row],[Payroll Period Ends Date (Minimum two months)]]-StaffPayroll[[#This Row],[Payroll Period Begins Date        (Must start after 6/1/2025)]]+1</f>
        <v>1</v>
      </c>
      <c r="L103" s="38">
        <f>IFERROR(IF(VLOOKUP(J103,'Facility Info Input'!$B$25:$D$34,3,FALSE)="",1,VLOOKUP(J103,'Facility Info Input'!$B$25:$D$34,3,FALSE)),0)</f>
        <v>0</v>
      </c>
      <c r="M103" s="22" t="str">
        <f>IF(StaffPayroll[[#This Row],[Employee ID Number / Code]]="","",IF(StaffPayroll[[#This Row],[Position / Title]]="","",VLOOKUP(StaffPayroll[[#This Row],[Position / Title]],Lists!A:C,2,FALSE)))</f>
        <v/>
      </c>
      <c r="N103" s="22">
        <f>IF(C103="",0,StaffPayroll[[#This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3" s="31">
        <f>IF(StaffPayroll[[#This Row],[Hourly WSB  Wage Minimum]]="",0,StaffPayroll[[#This Row],[Annual NF Wage Costs after WSB Minimum]]-StaffPayroll[[#This Row],[Annual NF Wage Costs before WSB Minimum]])</f>
        <v>0</v>
      </c>
      <c r="Q103" s="31">
        <f>IFERROR(IF(StaffPayroll[[#This Row],[Annual Cost of Wage Increase included in Rate Adjustment]]=0,0,P103*'Facility Info Input'!$F$10),0)</f>
        <v>0</v>
      </c>
      <c r="R103" s="32">
        <f>IFERROR(IF(StaffPayroll[[#This Row],[Annual Cost of Wage Increase included in Rate Adjustment]]=0,0,IF('Facility Info Input'!$F$11&lt;=0,0,P103*'Facility Info Input'!$F$11)),0)</f>
        <v>0</v>
      </c>
      <c r="S103" s="32">
        <f>IFERROR(IF(StaffPayroll[[#This Row],[Annual Cost of Wage Increase included in Rate Adjustment]]=0,0,IF('Facility Info Input'!$F$12&lt;=0,0,P103*'Facility Info Input'!$F$12)),0)</f>
        <v>0</v>
      </c>
      <c r="T103" s="32">
        <f t="shared" si="2"/>
        <v>0</v>
      </c>
      <c r="U103" s="33">
        <f t="shared" si="3"/>
        <v>0</v>
      </c>
    </row>
    <row r="104" spans="1:21">
      <c r="A104" s="76"/>
      <c r="B104" s="77"/>
      <c r="C104" s="81"/>
      <c r="D104" s="82"/>
      <c r="E104" s="82"/>
      <c r="F104" s="83"/>
      <c r="G104" s="84"/>
      <c r="H104" s="85"/>
      <c r="I104" s="71" t="e">
        <f>#REF!&amp;" "&amp;StaffPayroll[[#This Row],[Employee ID Number / Code]]</f>
        <v>#REF!</v>
      </c>
      <c r="J104" s="71" t="str">
        <f>_xlfn.IFNA(VLOOKUP(StaffPayroll[[#This Row],[Position / Title]],Lists!A:C,3,FALSE),"")</f>
        <v/>
      </c>
      <c r="K104" s="71">
        <f>StaffPayroll[[#This Row],[Payroll Period Ends Date (Minimum two months)]]-StaffPayroll[[#This Row],[Payroll Period Begins Date        (Must start after 6/1/2025)]]+1</f>
        <v>1</v>
      </c>
      <c r="L104" s="38">
        <f>IFERROR(IF(VLOOKUP(J104,'Facility Info Input'!$B$25:$D$34,3,FALSE)="",1,VLOOKUP(J104,'Facility Info Input'!$B$25:$D$34,3,FALSE)),0)</f>
        <v>0</v>
      </c>
      <c r="M104" s="22" t="str">
        <f>IF(StaffPayroll[[#This Row],[Employee ID Number / Code]]="","",IF(StaffPayroll[[#This Row],[Position / Title]]="","",VLOOKUP(StaffPayroll[[#This Row],[Position / Title]],Lists!A:C,2,FALSE)))</f>
        <v/>
      </c>
      <c r="N104" s="22">
        <f>IF(C104="",0,StaffPayroll[[#This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4" s="31">
        <f>IF(StaffPayroll[[#This Row],[Hourly WSB  Wage Minimum]]="",0,StaffPayroll[[#This Row],[Annual NF Wage Costs after WSB Minimum]]-StaffPayroll[[#This Row],[Annual NF Wage Costs before WSB Minimum]])</f>
        <v>0</v>
      </c>
      <c r="Q104" s="31">
        <f>IFERROR(IF(StaffPayroll[[#This Row],[Annual Cost of Wage Increase included in Rate Adjustment]]=0,0,P104*'Facility Info Input'!$F$10),0)</f>
        <v>0</v>
      </c>
      <c r="R104" s="32">
        <f>IFERROR(IF(StaffPayroll[[#This Row],[Annual Cost of Wage Increase included in Rate Adjustment]]=0,0,IF('Facility Info Input'!$F$11&lt;=0,0,P104*'Facility Info Input'!$F$11)),0)</f>
        <v>0</v>
      </c>
      <c r="S104" s="32">
        <f>IFERROR(IF(StaffPayroll[[#This Row],[Annual Cost of Wage Increase included in Rate Adjustment]]=0,0,IF('Facility Info Input'!$F$12&lt;=0,0,P104*'Facility Info Input'!$F$12)),0)</f>
        <v>0</v>
      </c>
      <c r="T104" s="32">
        <f t="shared" si="2"/>
        <v>0</v>
      </c>
      <c r="U104" s="33">
        <f t="shared" si="3"/>
        <v>0</v>
      </c>
    </row>
    <row r="105" spans="1:21">
      <c r="A105" s="76"/>
      <c r="B105" s="77"/>
      <c r="C105" s="81"/>
      <c r="D105" s="82"/>
      <c r="E105" s="82"/>
      <c r="F105" s="83"/>
      <c r="G105" s="84"/>
      <c r="H105" s="85"/>
      <c r="I105" s="71" t="e">
        <f>#REF!&amp;" "&amp;StaffPayroll[[#This Row],[Employee ID Number / Code]]</f>
        <v>#REF!</v>
      </c>
      <c r="J105" s="71" t="str">
        <f>_xlfn.IFNA(VLOOKUP(StaffPayroll[[#This Row],[Position / Title]],Lists!A:C,3,FALSE),"")</f>
        <v/>
      </c>
      <c r="K105" s="71">
        <f>StaffPayroll[[#This Row],[Payroll Period Ends Date (Minimum two months)]]-StaffPayroll[[#This Row],[Payroll Period Begins Date        (Must start after 6/1/2025)]]+1</f>
        <v>1</v>
      </c>
      <c r="L105" s="38">
        <f>IFERROR(IF(VLOOKUP(J105,'Facility Info Input'!$B$25:$D$34,3,FALSE)="",1,VLOOKUP(J105,'Facility Info Input'!$B$25:$D$34,3,FALSE)),0)</f>
        <v>0</v>
      </c>
      <c r="M105" s="22" t="str">
        <f>IF(StaffPayroll[[#This Row],[Employee ID Number / Code]]="","",IF(StaffPayroll[[#This Row],[Position / Title]]="","",VLOOKUP(StaffPayroll[[#This Row],[Position / Title]],Lists!A:C,2,FALSE)))</f>
        <v/>
      </c>
      <c r="N105" s="22">
        <f>IF(C105="",0,StaffPayroll[[#This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5" s="31">
        <f>IF(StaffPayroll[[#This Row],[Hourly WSB  Wage Minimum]]="",0,StaffPayroll[[#This Row],[Annual NF Wage Costs after WSB Minimum]]-StaffPayroll[[#This Row],[Annual NF Wage Costs before WSB Minimum]])</f>
        <v>0</v>
      </c>
      <c r="Q105" s="31">
        <f>IFERROR(IF(StaffPayroll[[#This Row],[Annual Cost of Wage Increase included in Rate Adjustment]]=0,0,P105*'Facility Info Input'!$F$10),0)</f>
        <v>0</v>
      </c>
      <c r="R105" s="32">
        <f>IFERROR(IF(StaffPayroll[[#This Row],[Annual Cost of Wage Increase included in Rate Adjustment]]=0,0,IF('Facility Info Input'!$F$11&lt;=0,0,P105*'Facility Info Input'!$F$11)),0)</f>
        <v>0</v>
      </c>
      <c r="S105" s="32">
        <f>IFERROR(IF(StaffPayroll[[#This Row],[Annual Cost of Wage Increase included in Rate Adjustment]]=0,0,IF('Facility Info Input'!$F$12&lt;=0,0,P105*'Facility Info Input'!$F$12)),0)</f>
        <v>0</v>
      </c>
      <c r="T105" s="32">
        <f t="shared" si="2"/>
        <v>0</v>
      </c>
      <c r="U105" s="33">
        <f t="shared" si="3"/>
        <v>0</v>
      </c>
    </row>
    <row r="106" spans="1:21">
      <c r="A106" s="76"/>
      <c r="B106" s="77"/>
      <c r="C106" s="81"/>
      <c r="D106" s="82"/>
      <c r="E106" s="82"/>
      <c r="F106" s="83"/>
      <c r="G106" s="84"/>
      <c r="H106" s="85"/>
      <c r="I106" s="71" t="e">
        <f>#REF!&amp;" "&amp;StaffPayroll[[#This Row],[Employee ID Number / Code]]</f>
        <v>#REF!</v>
      </c>
      <c r="J106" s="71" t="str">
        <f>_xlfn.IFNA(VLOOKUP(StaffPayroll[[#This Row],[Position / Title]],Lists!A:C,3,FALSE),"")</f>
        <v/>
      </c>
      <c r="K106" s="71">
        <f>StaffPayroll[[#This Row],[Payroll Period Ends Date (Minimum two months)]]-StaffPayroll[[#This Row],[Payroll Period Begins Date        (Must start after 6/1/2025)]]+1</f>
        <v>1</v>
      </c>
      <c r="L106" s="38">
        <f>IFERROR(IF(VLOOKUP(J106,'Facility Info Input'!$B$25:$D$34,3,FALSE)="",1,VLOOKUP(J106,'Facility Info Input'!$B$25:$D$34,3,FALSE)),0)</f>
        <v>0</v>
      </c>
      <c r="M106" s="22" t="str">
        <f>IF(StaffPayroll[[#This Row],[Employee ID Number / Code]]="","",IF(StaffPayroll[[#This Row],[Position / Title]]="","",VLOOKUP(StaffPayroll[[#This Row],[Position / Title]],Lists!A:C,2,FALSE)))</f>
        <v/>
      </c>
      <c r="N106" s="22">
        <f>IF(C106="",0,StaffPayroll[[#This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6" s="31">
        <f>IF(StaffPayroll[[#This Row],[Hourly WSB  Wage Minimum]]="",0,StaffPayroll[[#This Row],[Annual NF Wage Costs after WSB Minimum]]-StaffPayroll[[#This Row],[Annual NF Wage Costs before WSB Minimum]])</f>
        <v>0</v>
      </c>
      <c r="Q106" s="31">
        <f>IFERROR(IF(StaffPayroll[[#This Row],[Annual Cost of Wage Increase included in Rate Adjustment]]=0,0,P106*'Facility Info Input'!$F$10),0)</f>
        <v>0</v>
      </c>
      <c r="R106" s="32">
        <f>IFERROR(IF(StaffPayroll[[#This Row],[Annual Cost of Wage Increase included in Rate Adjustment]]=0,0,IF('Facility Info Input'!$F$11&lt;=0,0,P106*'Facility Info Input'!$F$11)),0)</f>
        <v>0</v>
      </c>
      <c r="S106" s="32">
        <f>IFERROR(IF(StaffPayroll[[#This Row],[Annual Cost of Wage Increase included in Rate Adjustment]]=0,0,IF('Facility Info Input'!$F$12&lt;=0,0,P106*'Facility Info Input'!$F$12)),0)</f>
        <v>0</v>
      </c>
      <c r="T106" s="32">
        <f t="shared" si="2"/>
        <v>0</v>
      </c>
      <c r="U106" s="33">
        <f t="shared" si="3"/>
        <v>0</v>
      </c>
    </row>
    <row r="107" spans="1:21">
      <c r="A107" s="76"/>
      <c r="B107" s="77"/>
      <c r="C107" s="81"/>
      <c r="D107" s="82"/>
      <c r="E107" s="82"/>
      <c r="F107" s="83"/>
      <c r="G107" s="84"/>
      <c r="H107" s="85"/>
      <c r="I107" s="71" t="e">
        <f>#REF!&amp;" "&amp;StaffPayroll[[#This Row],[Employee ID Number / Code]]</f>
        <v>#REF!</v>
      </c>
      <c r="J107" s="71" t="str">
        <f>_xlfn.IFNA(VLOOKUP(StaffPayroll[[#This Row],[Position / Title]],Lists!A:C,3,FALSE),"")</f>
        <v/>
      </c>
      <c r="K107" s="71">
        <f>StaffPayroll[[#This Row],[Payroll Period Ends Date (Minimum two months)]]-StaffPayroll[[#This Row],[Payroll Period Begins Date        (Must start after 6/1/2025)]]+1</f>
        <v>1</v>
      </c>
      <c r="L107" s="38">
        <f>IFERROR(IF(VLOOKUP(J107,'Facility Info Input'!$B$25:$D$34,3,FALSE)="",1,VLOOKUP(J107,'Facility Info Input'!$B$25:$D$34,3,FALSE)),0)</f>
        <v>0</v>
      </c>
      <c r="M107" s="22" t="str">
        <f>IF(StaffPayroll[[#This Row],[Employee ID Number / Code]]="","",IF(StaffPayroll[[#This Row],[Position / Title]]="","",VLOOKUP(StaffPayroll[[#This Row],[Position / Title]],Lists!A:C,2,FALSE)))</f>
        <v/>
      </c>
      <c r="N107" s="22">
        <f>IF(C107="",0,StaffPayroll[[#This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7" s="31">
        <f>IF(StaffPayroll[[#This Row],[Hourly WSB  Wage Minimum]]="",0,StaffPayroll[[#This Row],[Annual NF Wage Costs after WSB Minimum]]-StaffPayroll[[#This Row],[Annual NF Wage Costs before WSB Minimum]])</f>
        <v>0</v>
      </c>
      <c r="Q107" s="31">
        <f>IFERROR(IF(StaffPayroll[[#This Row],[Annual Cost of Wage Increase included in Rate Adjustment]]=0,0,P107*'Facility Info Input'!$F$10),0)</f>
        <v>0</v>
      </c>
      <c r="R107" s="32">
        <f>IFERROR(IF(StaffPayroll[[#This Row],[Annual Cost of Wage Increase included in Rate Adjustment]]=0,0,IF('Facility Info Input'!$F$11&lt;=0,0,P107*'Facility Info Input'!$F$11)),0)</f>
        <v>0</v>
      </c>
      <c r="S107" s="32">
        <f>IFERROR(IF(StaffPayroll[[#This Row],[Annual Cost of Wage Increase included in Rate Adjustment]]=0,0,IF('Facility Info Input'!$F$12&lt;=0,0,P107*'Facility Info Input'!$F$12)),0)</f>
        <v>0</v>
      </c>
      <c r="T107" s="32">
        <f t="shared" si="2"/>
        <v>0</v>
      </c>
      <c r="U107" s="33">
        <f t="shared" si="3"/>
        <v>0</v>
      </c>
    </row>
    <row r="108" spans="1:21">
      <c r="A108" s="76"/>
      <c r="B108" s="77"/>
      <c r="C108" s="81"/>
      <c r="D108" s="82"/>
      <c r="E108" s="82"/>
      <c r="F108" s="83"/>
      <c r="G108" s="84"/>
      <c r="H108" s="85"/>
      <c r="I108" s="71" t="e">
        <f>#REF!&amp;" "&amp;StaffPayroll[[#This Row],[Employee ID Number / Code]]</f>
        <v>#REF!</v>
      </c>
      <c r="J108" s="71" t="str">
        <f>_xlfn.IFNA(VLOOKUP(StaffPayroll[[#This Row],[Position / Title]],Lists!A:C,3,FALSE),"")</f>
        <v/>
      </c>
      <c r="K108" s="71">
        <f>StaffPayroll[[#This Row],[Payroll Period Ends Date (Minimum two months)]]-StaffPayroll[[#This Row],[Payroll Period Begins Date        (Must start after 6/1/2025)]]+1</f>
        <v>1</v>
      </c>
      <c r="L108" s="38">
        <f>IFERROR(IF(VLOOKUP(J108,'Facility Info Input'!$B$25:$D$34,3,FALSE)="",1,VLOOKUP(J108,'Facility Info Input'!$B$25:$D$34,3,FALSE)),0)</f>
        <v>0</v>
      </c>
      <c r="M108" s="22" t="str">
        <f>IF(StaffPayroll[[#This Row],[Employee ID Number / Code]]="","",IF(StaffPayroll[[#This Row],[Position / Title]]="","",VLOOKUP(StaffPayroll[[#This Row],[Position / Title]],Lists!A:C,2,FALSE)))</f>
        <v/>
      </c>
      <c r="N108" s="22">
        <f>IF(C108="",0,StaffPayroll[[#This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8" s="31">
        <f>IF(StaffPayroll[[#This Row],[Hourly WSB  Wage Minimum]]="",0,StaffPayroll[[#This Row],[Annual NF Wage Costs after WSB Minimum]]-StaffPayroll[[#This Row],[Annual NF Wage Costs before WSB Minimum]])</f>
        <v>0</v>
      </c>
      <c r="Q108" s="31">
        <f>IFERROR(IF(StaffPayroll[[#This Row],[Annual Cost of Wage Increase included in Rate Adjustment]]=0,0,P108*'Facility Info Input'!$F$10),0)</f>
        <v>0</v>
      </c>
      <c r="R108" s="32">
        <f>IFERROR(IF(StaffPayroll[[#This Row],[Annual Cost of Wage Increase included in Rate Adjustment]]=0,0,IF('Facility Info Input'!$F$11&lt;=0,0,P108*'Facility Info Input'!$F$11)),0)</f>
        <v>0</v>
      </c>
      <c r="S108" s="32">
        <f>IFERROR(IF(StaffPayroll[[#This Row],[Annual Cost of Wage Increase included in Rate Adjustment]]=0,0,IF('Facility Info Input'!$F$12&lt;=0,0,P108*'Facility Info Input'!$F$12)),0)</f>
        <v>0</v>
      </c>
      <c r="T108" s="32">
        <f t="shared" si="2"/>
        <v>0</v>
      </c>
      <c r="U108" s="33">
        <f t="shared" si="3"/>
        <v>0</v>
      </c>
    </row>
    <row r="109" spans="1:21">
      <c r="A109" s="76"/>
      <c r="B109" s="77"/>
      <c r="C109" s="81"/>
      <c r="D109" s="82"/>
      <c r="E109" s="82"/>
      <c r="F109" s="83"/>
      <c r="G109" s="84"/>
      <c r="H109" s="85"/>
      <c r="I109" s="71" t="e">
        <f>#REF!&amp;" "&amp;StaffPayroll[[#This Row],[Employee ID Number / Code]]</f>
        <v>#REF!</v>
      </c>
      <c r="J109" s="71" t="str">
        <f>_xlfn.IFNA(VLOOKUP(StaffPayroll[[#This Row],[Position / Title]],Lists!A:C,3,FALSE),"")</f>
        <v/>
      </c>
      <c r="K109" s="71">
        <f>StaffPayroll[[#This Row],[Payroll Period Ends Date (Minimum two months)]]-StaffPayroll[[#This Row],[Payroll Period Begins Date        (Must start after 6/1/2025)]]+1</f>
        <v>1</v>
      </c>
      <c r="L109" s="38">
        <f>IFERROR(IF(VLOOKUP(J109,'Facility Info Input'!$B$25:$D$34,3,FALSE)="",1,VLOOKUP(J109,'Facility Info Input'!$B$25:$D$34,3,FALSE)),0)</f>
        <v>0</v>
      </c>
      <c r="M109" s="22" t="str">
        <f>IF(StaffPayroll[[#This Row],[Employee ID Number / Code]]="","",IF(StaffPayroll[[#This Row],[Position / Title]]="","",VLOOKUP(StaffPayroll[[#This Row],[Position / Title]],Lists!A:C,2,FALSE)))</f>
        <v/>
      </c>
      <c r="N109" s="22">
        <f>IF(C109="",0,StaffPayroll[[#This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0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09" s="31">
        <f>IF(StaffPayroll[[#This Row],[Hourly WSB  Wage Minimum]]="",0,StaffPayroll[[#This Row],[Annual NF Wage Costs after WSB Minimum]]-StaffPayroll[[#This Row],[Annual NF Wage Costs before WSB Minimum]])</f>
        <v>0</v>
      </c>
      <c r="Q109" s="31">
        <f>IFERROR(IF(StaffPayroll[[#This Row],[Annual Cost of Wage Increase included in Rate Adjustment]]=0,0,P109*'Facility Info Input'!$F$10),0)</f>
        <v>0</v>
      </c>
      <c r="R109" s="32">
        <f>IFERROR(IF(StaffPayroll[[#This Row],[Annual Cost of Wage Increase included in Rate Adjustment]]=0,0,IF('Facility Info Input'!$F$11&lt;=0,0,P109*'Facility Info Input'!$F$11)),0)</f>
        <v>0</v>
      </c>
      <c r="S109" s="32">
        <f>IFERROR(IF(StaffPayroll[[#This Row],[Annual Cost of Wage Increase included in Rate Adjustment]]=0,0,IF('Facility Info Input'!$F$12&lt;=0,0,P109*'Facility Info Input'!$F$12)),0)</f>
        <v>0</v>
      </c>
      <c r="T109" s="32">
        <f t="shared" si="2"/>
        <v>0</v>
      </c>
      <c r="U109" s="33">
        <f t="shared" si="3"/>
        <v>0</v>
      </c>
    </row>
    <row r="110" spans="1:21">
      <c r="A110" s="76"/>
      <c r="B110" s="77"/>
      <c r="C110" s="81"/>
      <c r="D110" s="82"/>
      <c r="E110" s="82"/>
      <c r="F110" s="83"/>
      <c r="G110" s="84"/>
      <c r="H110" s="85"/>
      <c r="I110" s="71" t="e">
        <f>#REF!&amp;" "&amp;StaffPayroll[[#This Row],[Employee ID Number / Code]]</f>
        <v>#REF!</v>
      </c>
      <c r="J110" s="71" t="str">
        <f>_xlfn.IFNA(VLOOKUP(StaffPayroll[[#This Row],[Position / Title]],Lists!A:C,3,FALSE),"")</f>
        <v/>
      </c>
      <c r="K110" s="71">
        <f>StaffPayroll[[#This Row],[Payroll Period Ends Date (Minimum two months)]]-StaffPayroll[[#This Row],[Payroll Period Begins Date        (Must start after 6/1/2025)]]+1</f>
        <v>1</v>
      </c>
      <c r="L110" s="38">
        <f>IFERROR(IF(VLOOKUP(J110,'Facility Info Input'!$B$25:$D$34,3,FALSE)="",1,VLOOKUP(J110,'Facility Info Input'!$B$25:$D$34,3,FALSE)),0)</f>
        <v>0</v>
      </c>
      <c r="M110" s="22" t="str">
        <f>IF(StaffPayroll[[#This Row],[Employee ID Number / Code]]="","",IF(StaffPayroll[[#This Row],[Position / Title]]="","",VLOOKUP(StaffPayroll[[#This Row],[Position / Title]],Lists!A:C,2,FALSE)))</f>
        <v/>
      </c>
      <c r="N110" s="22">
        <f>IF(C110="",0,StaffPayroll[[#This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0" s="31">
        <f>IF(StaffPayroll[[#This Row],[Hourly WSB  Wage Minimum]]="",0,StaffPayroll[[#This Row],[Annual NF Wage Costs after WSB Minimum]]-StaffPayroll[[#This Row],[Annual NF Wage Costs before WSB Minimum]])</f>
        <v>0</v>
      </c>
      <c r="Q110" s="31">
        <f>IFERROR(IF(StaffPayroll[[#This Row],[Annual Cost of Wage Increase included in Rate Adjustment]]=0,0,P110*'Facility Info Input'!$F$10),0)</f>
        <v>0</v>
      </c>
      <c r="R110" s="32">
        <f>IFERROR(IF(StaffPayroll[[#This Row],[Annual Cost of Wage Increase included in Rate Adjustment]]=0,0,IF('Facility Info Input'!$F$11&lt;=0,0,P110*'Facility Info Input'!$F$11)),0)</f>
        <v>0</v>
      </c>
      <c r="S110" s="32">
        <f>IFERROR(IF(StaffPayroll[[#This Row],[Annual Cost of Wage Increase included in Rate Adjustment]]=0,0,IF('Facility Info Input'!$F$12&lt;=0,0,P110*'Facility Info Input'!$F$12)),0)</f>
        <v>0</v>
      </c>
      <c r="T110" s="32">
        <f t="shared" si="2"/>
        <v>0</v>
      </c>
      <c r="U110" s="33">
        <f t="shared" si="3"/>
        <v>0</v>
      </c>
    </row>
    <row r="111" spans="1:21">
      <c r="A111" s="76"/>
      <c r="B111" s="77"/>
      <c r="C111" s="81"/>
      <c r="D111" s="82"/>
      <c r="E111" s="82"/>
      <c r="F111" s="83"/>
      <c r="G111" s="84"/>
      <c r="H111" s="85"/>
      <c r="I111" s="71" t="e">
        <f>#REF!&amp;" "&amp;StaffPayroll[[#This Row],[Employee ID Number / Code]]</f>
        <v>#REF!</v>
      </c>
      <c r="J111" s="71" t="str">
        <f>_xlfn.IFNA(VLOOKUP(StaffPayroll[[#This Row],[Position / Title]],Lists!A:C,3,FALSE),"")</f>
        <v/>
      </c>
      <c r="K111" s="71">
        <f>StaffPayroll[[#This Row],[Payroll Period Ends Date (Minimum two months)]]-StaffPayroll[[#This Row],[Payroll Period Begins Date        (Must start after 6/1/2025)]]+1</f>
        <v>1</v>
      </c>
      <c r="L111" s="38">
        <f>IFERROR(IF(VLOOKUP(J111,'Facility Info Input'!$B$25:$D$34,3,FALSE)="",1,VLOOKUP(J111,'Facility Info Input'!$B$25:$D$34,3,FALSE)),0)</f>
        <v>0</v>
      </c>
      <c r="M111" s="22" t="str">
        <f>IF(StaffPayroll[[#This Row],[Employee ID Number / Code]]="","",IF(StaffPayroll[[#This Row],[Position / Title]]="","",VLOOKUP(StaffPayroll[[#This Row],[Position / Title]],Lists!A:C,2,FALSE)))</f>
        <v/>
      </c>
      <c r="N111" s="22">
        <f>IF(C111="",0,StaffPayroll[[#This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1" s="31">
        <f>IF(StaffPayroll[[#This Row],[Hourly WSB  Wage Minimum]]="",0,StaffPayroll[[#This Row],[Annual NF Wage Costs after WSB Minimum]]-StaffPayroll[[#This Row],[Annual NF Wage Costs before WSB Minimum]])</f>
        <v>0</v>
      </c>
      <c r="Q111" s="31">
        <f>IFERROR(IF(StaffPayroll[[#This Row],[Annual Cost of Wage Increase included in Rate Adjustment]]=0,0,P111*'Facility Info Input'!$F$10),0)</f>
        <v>0</v>
      </c>
      <c r="R111" s="32">
        <f>IFERROR(IF(StaffPayroll[[#This Row],[Annual Cost of Wage Increase included in Rate Adjustment]]=0,0,IF('Facility Info Input'!$F$11&lt;=0,0,P111*'Facility Info Input'!$F$11)),0)</f>
        <v>0</v>
      </c>
      <c r="S111" s="32">
        <f>IFERROR(IF(StaffPayroll[[#This Row],[Annual Cost of Wage Increase included in Rate Adjustment]]=0,0,IF('Facility Info Input'!$F$12&lt;=0,0,P111*'Facility Info Input'!$F$12)),0)</f>
        <v>0</v>
      </c>
      <c r="T111" s="32">
        <f t="shared" si="2"/>
        <v>0</v>
      </c>
      <c r="U111" s="33">
        <f t="shared" si="3"/>
        <v>0</v>
      </c>
    </row>
    <row r="112" spans="1:21">
      <c r="A112" s="76"/>
      <c r="B112" s="77"/>
      <c r="C112" s="81"/>
      <c r="D112" s="82"/>
      <c r="E112" s="82"/>
      <c r="F112" s="83"/>
      <c r="G112" s="84"/>
      <c r="H112" s="85"/>
      <c r="I112" s="71" t="e">
        <f>#REF!&amp;" "&amp;StaffPayroll[[#This Row],[Employee ID Number / Code]]</f>
        <v>#REF!</v>
      </c>
      <c r="J112" s="71" t="str">
        <f>_xlfn.IFNA(VLOOKUP(StaffPayroll[[#This Row],[Position / Title]],Lists!A:C,3,FALSE),"")</f>
        <v/>
      </c>
      <c r="K112" s="71">
        <f>StaffPayroll[[#This Row],[Payroll Period Ends Date (Minimum two months)]]-StaffPayroll[[#This Row],[Payroll Period Begins Date        (Must start after 6/1/2025)]]+1</f>
        <v>1</v>
      </c>
      <c r="L112" s="38">
        <f>IFERROR(IF(VLOOKUP(J112,'Facility Info Input'!$B$25:$D$34,3,FALSE)="",1,VLOOKUP(J112,'Facility Info Input'!$B$25:$D$34,3,FALSE)),0)</f>
        <v>0</v>
      </c>
      <c r="M112" s="22" t="str">
        <f>IF(StaffPayroll[[#This Row],[Employee ID Number / Code]]="","",IF(StaffPayroll[[#This Row],[Position / Title]]="","",VLOOKUP(StaffPayroll[[#This Row],[Position / Title]],Lists!A:C,2,FALSE)))</f>
        <v/>
      </c>
      <c r="N112" s="22">
        <f>IF(C112="",0,StaffPayroll[[#This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2" s="31">
        <f>IF(StaffPayroll[[#This Row],[Hourly WSB  Wage Minimum]]="",0,StaffPayroll[[#This Row],[Annual NF Wage Costs after WSB Minimum]]-StaffPayroll[[#This Row],[Annual NF Wage Costs before WSB Minimum]])</f>
        <v>0</v>
      </c>
      <c r="Q112" s="31">
        <f>IFERROR(IF(StaffPayroll[[#This Row],[Annual Cost of Wage Increase included in Rate Adjustment]]=0,0,P112*'Facility Info Input'!$F$10),0)</f>
        <v>0</v>
      </c>
      <c r="R112" s="32">
        <f>IFERROR(IF(StaffPayroll[[#This Row],[Annual Cost of Wage Increase included in Rate Adjustment]]=0,0,IF('Facility Info Input'!$F$11&lt;=0,0,P112*'Facility Info Input'!$F$11)),0)</f>
        <v>0</v>
      </c>
      <c r="S112" s="32">
        <f>IFERROR(IF(StaffPayroll[[#This Row],[Annual Cost of Wage Increase included in Rate Adjustment]]=0,0,IF('Facility Info Input'!$F$12&lt;=0,0,P112*'Facility Info Input'!$F$12)),0)</f>
        <v>0</v>
      </c>
      <c r="T112" s="32">
        <f t="shared" si="2"/>
        <v>0</v>
      </c>
      <c r="U112" s="33">
        <f t="shared" si="3"/>
        <v>0</v>
      </c>
    </row>
    <row r="113" spans="1:21">
      <c r="A113" s="76"/>
      <c r="B113" s="77"/>
      <c r="C113" s="81"/>
      <c r="D113" s="82"/>
      <c r="E113" s="82"/>
      <c r="F113" s="83"/>
      <c r="G113" s="84"/>
      <c r="H113" s="85"/>
      <c r="I113" s="71" t="e">
        <f>#REF!&amp;" "&amp;StaffPayroll[[#This Row],[Employee ID Number / Code]]</f>
        <v>#REF!</v>
      </c>
      <c r="J113" s="71" t="str">
        <f>_xlfn.IFNA(VLOOKUP(StaffPayroll[[#This Row],[Position / Title]],Lists!A:C,3,FALSE),"")</f>
        <v/>
      </c>
      <c r="K113" s="71">
        <f>StaffPayroll[[#This Row],[Payroll Period Ends Date (Minimum two months)]]-StaffPayroll[[#This Row],[Payroll Period Begins Date        (Must start after 6/1/2025)]]+1</f>
        <v>1</v>
      </c>
      <c r="L113" s="38">
        <f>IFERROR(IF(VLOOKUP(J113,'Facility Info Input'!$B$25:$D$34,3,FALSE)="",1,VLOOKUP(J113,'Facility Info Input'!$B$25:$D$34,3,FALSE)),0)</f>
        <v>0</v>
      </c>
      <c r="M113" s="22" t="str">
        <f>IF(StaffPayroll[[#This Row],[Employee ID Number / Code]]="","",IF(StaffPayroll[[#This Row],[Position / Title]]="","",VLOOKUP(StaffPayroll[[#This Row],[Position / Title]],Lists!A:C,2,FALSE)))</f>
        <v/>
      </c>
      <c r="N113" s="22">
        <f>IF(C113="",0,StaffPayroll[[#This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3" s="31">
        <f>IF(StaffPayroll[[#This Row],[Hourly WSB  Wage Minimum]]="",0,StaffPayroll[[#This Row],[Annual NF Wage Costs after WSB Minimum]]-StaffPayroll[[#This Row],[Annual NF Wage Costs before WSB Minimum]])</f>
        <v>0</v>
      </c>
      <c r="Q113" s="31">
        <f>IFERROR(IF(StaffPayroll[[#This Row],[Annual Cost of Wage Increase included in Rate Adjustment]]=0,0,P113*'Facility Info Input'!$F$10),0)</f>
        <v>0</v>
      </c>
      <c r="R113" s="32">
        <f>IFERROR(IF(StaffPayroll[[#This Row],[Annual Cost of Wage Increase included in Rate Adjustment]]=0,0,IF('Facility Info Input'!$F$11&lt;=0,0,P113*'Facility Info Input'!$F$11)),0)</f>
        <v>0</v>
      </c>
      <c r="S113" s="32">
        <f>IFERROR(IF(StaffPayroll[[#This Row],[Annual Cost of Wage Increase included in Rate Adjustment]]=0,0,IF('Facility Info Input'!$F$12&lt;=0,0,P113*'Facility Info Input'!$F$12)),0)</f>
        <v>0</v>
      </c>
      <c r="T113" s="32">
        <f t="shared" si="2"/>
        <v>0</v>
      </c>
      <c r="U113" s="33">
        <f t="shared" si="3"/>
        <v>0</v>
      </c>
    </row>
    <row r="114" spans="1:21">
      <c r="A114" s="76"/>
      <c r="B114" s="77"/>
      <c r="C114" s="81"/>
      <c r="D114" s="82"/>
      <c r="E114" s="82"/>
      <c r="F114" s="83"/>
      <c r="G114" s="84"/>
      <c r="H114" s="85"/>
      <c r="I114" s="71" t="e">
        <f>#REF!&amp;" "&amp;StaffPayroll[[#This Row],[Employee ID Number / Code]]</f>
        <v>#REF!</v>
      </c>
      <c r="J114" s="71" t="str">
        <f>_xlfn.IFNA(VLOOKUP(StaffPayroll[[#This Row],[Position / Title]],Lists!A:C,3,FALSE),"")</f>
        <v/>
      </c>
      <c r="K114" s="71">
        <f>StaffPayroll[[#This Row],[Payroll Period Ends Date (Minimum two months)]]-StaffPayroll[[#This Row],[Payroll Period Begins Date        (Must start after 6/1/2025)]]+1</f>
        <v>1</v>
      </c>
      <c r="L114" s="38">
        <f>IFERROR(IF(VLOOKUP(J114,'Facility Info Input'!$B$25:$D$34,3,FALSE)="",1,VLOOKUP(J114,'Facility Info Input'!$B$25:$D$34,3,FALSE)),0)</f>
        <v>0</v>
      </c>
      <c r="M114" s="22" t="str">
        <f>IF(StaffPayroll[[#This Row],[Employee ID Number / Code]]="","",IF(StaffPayroll[[#This Row],[Position / Title]]="","",VLOOKUP(StaffPayroll[[#This Row],[Position / Title]],Lists!A:C,2,FALSE)))</f>
        <v/>
      </c>
      <c r="N114" s="22">
        <f>IF(C114="",0,StaffPayroll[[#This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4" s="31">
        <f>IF(StaffPayroll[[#This Row],[Hourly WSB  Wage Minimum]]="",0,StaffPayroll[[#This Row],[Annual NF Wage Costs after WSB Minimum]]-StaffPayroll[[#This Row],[Annual NF Wage Costs before WSB Minimum]])</f>
        <v>0</v>
      </c>
      <c r="Q114" s="31">
        <f>IFERROR(IF(StaffPayroll[[#This Row],[Annual Cost of Wage Increase included in Rate Adjustment]]=0,0,P114*'Facility Info Input'!$F$10),0)</f>
        <v>0</v>
      </c>
      <c r="R114" s="32">
        <f>IFERROR(IF(StaffPayroll[[#This Row],[Annual Cost of Wage Increase included in Rate Adjustment]]=0,0,IF('Facility Info Input'!$F$11&lt;=0,0,P114*'Facility Info Input'!$F$11)),0)</f>
        <v>0</v>
      </c>
      <c r="S114" s="32">
        <f>IFERROR(IF(StaffPayroll[[#This Row],[Annual Cost of Wage Increase included in Rate Adjustment]]=0,0,IF('Facility Info Input'!$F$12&lt;=0,0,P114*'Facility Info Input'!$F$12)),0)</f>
        <v>0</v>
      </c>
      <c r="T114" s="32">
        <f t="shared" si="2"/>
        <v>0</v>
      </c>
      <c r="U114" s="33">
        <f t="shared" si="3"/>
        <v>0</v>
      </c>
    </row>
    <row r="115" spans="1:21">
      <c r="A115" s="76"/>
      <c r="B115" s="77"/>
      <c r="C115" s="81"/>
      <c r="D115" s="82"/>
      <c r="E115" s="82"/>
      <c r="F115" s="83"/>
      <c r="G115" s="84"/>
      <c r="H115" s="85"/>
      <c r="I115" s="71" t="e">
        <f>#REF!&amp;" "&amp;StaffPayroll[[#This Row],[Employee ID Number / Code]]</f>
        <v>#REF!</v>
      </c>
      <c r="J115" s="71" t="str">
        <f>_xlfn.IFNA(VLOOKUP(StaffPayroll[[#This Row],[Position / Title]],Lists!A:C,3,FALSE),"")</f>
        <v/>
      </c>
      <c r="K115" s="71">
        <f>StaffPayroll[[#This Row],[Payroll Period Ends Date (Minimum two months)]]-StaffPayroll[[#This Row],[Payroll Period Begins Date        (Must start after 6/1/2025)]]+1</f>
        <v>1</v>
      </c>
      <c r="L115" s="38">
        <f>IFERROR(IF(VLOOKUP(J115,'Facility Info Input'!$B$25:$D$34,3,FALSE)="",1,VLOOKUP(J115,'Facility Info Input'!$B$25:$D$34,3,FALSE)),0)</f>
        <v>0</v>
      </c>
      <c r="M115" s="22" t="str">
        <f>IF(StaffPayroll[[#This Row],[Employee ID Number / Code]]="","",IF(StaffPayroll[[#This Row],[Position / Title]]="","",VLOOKUP(StaffPayroll[[#This Row],[Position / Title]],Lists!A:C,2,FALSE)))</f>
        <v/>
      </c>
      <c r="N115" s="22">
        <f>IF(C115="",0,StaffPayroll[[#This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5" s="31">
        <f>IF(StaffPayroll[[#This Row],[Hourly WSB  Wage Minimum]]="",0,StaffPayroll[[#This Row],[Annual NF Wage Costs after WSB Minimum]]-StaffPayroll[[#This Row],[Annual NF Wage Costs before WSB Minimum]])</f>
        <v>0</v>
      </c>
      <c r="Q115" s="31">
        <f>IFERROR(IF(StaffPayroll[[#This Row],[Annual Cost of Wage Increase included in Rate Adjustment]]=0,0,P115*'Facility Info Input'!$F$10),0)</f>
        <v>0</v>
      </c>
      <c r="R115" s="32">
        <f>IFERROR(IF(StaffPayroll[[#This Row],[Annual Cost of Wage Increase included in Rate Adjustment]]=0,0,IF('Facility Info Input'!$F$11&lt;=0,0,P115*'Facility Info Input'!$F$11)),0)</f>
        <v>0</v>
      </c>
      <c r="S115" s="32">
        <f>IFERROR(IF(StaffPayroll[[#This Row],[Annual Cost of Wage Increase included in Rate Adjustment]]=0,0,IF('Facility Info Input'!$F$12&lt;=0,0,P115*'Facility Info Input'!$F$12)),0)</f>
        <v>0</v>
      </c>
      <c r="T115" s="32">
        <f t="shared" si="2"/>
        <v>0</v>
      </c>
      <c r="U115" s="33">
        <f t="shared" si="3"/>
        <v>0</v>
      </c>
    </row>
    <row r="116" spans="1:21">
      <c r="A116" s="76"/>
      <c r="B116" s="77"/>
      <c r="C116" s="81"/>
      <c r="D116" s="82"/>
      <c r="E116" s="82"/>
      <c r="F116" s="83"/>
      <c r="G116" s="84"/>
      <c r="H116" s="85"/>
      <c r="I116" s="71" t="e">
        <f>#REF!&amp;" "&amp;StaffPayroll[[#This Row],[Employee ID Number / Code]]</f>
        <v>#REF!</v>
      </c>
      <c r="J116" s="71" t="str">
        <f>_xlfn.IFNA(VLOOKUP(StaffPayroll[[#This Row],[Position / Title]],Lists!A:C,3,FALSE),"")</f>
        <v/>
      </c>
      <c r="K116" s="71">
        <f>StaffPayroll[[#This Row],[Payroll Period Ends Date (Minimum two months)]]-StaffPayroll[[#This Row],[Payroll Period Begins Date        (Must start after 6/1/2025)]]+1</f>
        <v>1</v>
      </c>
      <c r="L116" s="38">
        <f>IFERROR(IF(VLOOKUP(J116,'Facility Info Input'!$B$25:$D$34,3,FALSE)="",1,VLOOKUP(J116,'Facility Info Input'!$B$25:$D$34,3,FALSE)),0)</f>
        <v>0</v>
      </c>
      <c r="M116" s="22" t="str">
        <f>IF(StaffPayroll[[#This Row],[Employee ID Number / Code]]="","",IF(StaffPayroll[[#This Row],[Position / Title]]="","",VLOOKUP(StaffPayroll[[#This Row],[Position / Title]],Lists!A:C,2,FALSE)))</f>
        <v/>
      </c>
      <c r="N116" s="22">
        <f>IF(C116="",0,StaffPayroll[[#This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6" s="31">
        <f>IF(StaffPayroll[[#This Row],[Hourly WSB  Wage Minimum]]="",0,StaffPayroll[[#This Row],[Annual NF Wage Costs after WSB Minimum]]-StaffPayroll[[#This Row],[Annual NF Wage Costs before WSB Minimum]])</f>
        <v>0</v>
      </c>
      <c r="Q116" s="31">
        <f>IFERROR(IF(StaffPayroll[[#This Row],[Annual Cost of Wage Increase included in Rate Adjustment]]=0,0,P116*'Facility Info Input'!$F$10),0)</f>
        <v>0</v>
      </c>
      <c r="R116" s="32">
        <f>IFERROR(IF(StaffPayroll[[#This Row],[Annual Cost of Wage Increase included in Rate Adjustment]]=0,0,IF('Facility Info Input'!$F$11&lt;=0,0,P116*'Facility Info Input'!$F$11)),0)</f>
        <v>0</v>
      </c>
      <c r="S116" s="32">
        <f>IFERROR(IF(StaffPayroll[[#This Row],[Annual Cost of Wage Increase included in Rate Adjustment]]=0,0,IF('Facility Info Input'!$F$12&lt;=0,0,P116*'Facility Info Input'!$F$12)),0)</f>
        <v>0</v>
      </c>
      <c r="T116" s="32">
        <f t="shared" si="2"/>
        <v>0</v>
      </c>
      <c r="U116" s="33">
        <f t="shared" si="3"/>
        <v>0</v>
      </c>
    </row>
    <row r="117" spans="1:21">
      <c r="A117" s="76"/>
      <c r="B117" s="77"/>
      <c r="C117" s="81"/>
      <c r="D117" s="82"/>
      <c r="E117" s="82"/>
      <c r="F117" s="83"/>
      <c r="G117" s="84"/>
      <c r="H117" s="85"/>
      <c r="I117" s="71" t="e">
        <f>#REF!&amp;" "&amp;StaffPayroll[[#This Row],[Employee ID Number / Code]]</f>
        <v>#REF!</v>
      </c>
      <c r="J117" s="71" t="str">
        <f>_xlfn.IFNA(VLOOKUP(StaffPayroll[[#This Row],[Position / Title]],Lists!A:C,3,FALSE),"")</f>
        <v/>
      </c>
      <c r="K117" s="71">
        <f>StaffPayroll[[#This Row],[Payroll Period Ends Date (Minimum two months)]]-StaffPayroll[[#This Row],[Payroll Period Begins Date        (Must start after 6/1/2025)]]+1</f>
        <v>1</v>
      </c>
      <c r="L117" s="38">
        <f>IFERROR(IF(VLOOKUP(J117,'Facility Info Input'!$B$25:$D$34,3,FALSE)="",1,VLOOKUP(J117,'Facility Info Input'!$B$25:$D$34,3,FALSE)),0)</f>
        <v>0</v>
      </c>
      <c r="M117" s="22" t="str">
        <f>IF(StaffPayroll[[#This Row],[Employee ID Number / Code]]="","",IF(StaffPayroll[[#This Row],[Position / Title]]="","",VLOOKUP(StaffPayroll[[#This Row],[Position / Title]],Lists!A:C,2,FALSE)))</f>
        <v/>
      </c>
      <c r="N117" s="22">
        <f>IF(C117="",0,StaffPayroll[[#This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7" s="31">
        <f>IF(StaffPayroll[[#This Row],[Hourly WSB  Wage Minimum]]="",0,StaffPayroll[[#This Row],[Annual NF Wage Costs after WSB Minimum]]-StaffPayroll[[#This Row],[Annual NF Wage Costs before WSB Minimum]])</f>
        <v>0</v>
      </c>
      <c r="Q117" s="31">
        <f>IFERROR(IF(StaffPayroll[[#This Row],[Annual Cost of Wage Increase included in Rate Adjustment]]=0,0,P117*'Facility Info Input'!$F$10),0)</f>
        <v>0</v>
      </c>
      <c r="R117" s="32">
        <f>IFERROR(IF(StaffPayroll[[#This Row],[Annual Cost of Wage Increase included in Rate Adjustment]]=0,0,IF('Facility Info Input'!$F$11&lt;=0,0,P117*'Facility Info Input'!$F$11)),0)</f>
        <v>0</v>
      </c>
      <c r="S117" s="32">
        <f>IFERROR(IF(StaffPayroll[[#This Row],[Annual Cost of Wage Increase included in Rate Adjustment]]=0,0,IF('Facility Info Input'!$F$12&lt;=0,0,P117*'Facility Info Input'!$F$12)),0)</f>
        <v>0</v>
      </c>
      <c r="T117" s="32">
        <f t="shared" si="2"/>
        <v>0</v>
      </c>
      <c r="U117" s="33">
        <f t="shared" si="3"/>
        <v>0</v>
      </c>
    </row>
    <row r="118" spans="1:21">
      <c r="A118" s="76"/>
      <c r="B118" s="77"/>
      <c r="C118" s="81"/>
      <c r="D118" s="82"/>
      <c r="E118" s="82"/>
      <c r="F118" s="83"/>
      <c r="G118" s="84"/>
      <c r="H118" s="85"/>
      <c r="I118" s="71" t="e">
        <f>#REF!&amp;" "&amp;StaffPayroll[[#This Row],[Employee ID Number / Code]]</f>
        <v>#REF!</v>
      </c>
      <c r="J118" s="71" t="str">
        <f>_xlfn.IFNA(VLOOKUP(StaffPayroll[[#This Row],[Position / Title]],Lists!A:C,3,FALSE),"")</f>
        <v/>
      </c>
      <c r="K118" s="71">
        <f>StaffPayroll[[#This Row],[Payroll Period Ends Date (Minimum two months)]]-StaffPayroll[[#This Row],[Payroll Period Begins Date        (Must start after 6/1/2025)]]+1</f>
        <v>1</v>
      </c>
      <c r="L118" s="38">
        <f>IFERROR(IF(VLOOKUP(J118,'Facility Info Input'!$B$25:$D$34,3,FALSE)="",1,VLOOKUP(J118,'Facility Info Input'!$B$25:$D$34,3,FALSE)),0)</f>
        <v>0</v>
      </c>
      <c r="M118" s="22" t="str">
        <f>IF(StaffPayroll[[#This Row],[Employee ID Number / Code]]="","",IF(StaffPayroll[[#This Row],[Position / Title]]="","",VLOOKUP(StaffPayroll[[#This Row],[Position / Title]],Lists!A:C,2,FALSE)))</f>
        <v/>
      </c>
      <c r="N118" s="22">
        <f>IF(C118="",0,StaffPayroll[[#This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8" s="31">
        <f>IF(StaffPayroll[[#This Row],[Hourly WSB  Wage Minimum]]="",0,StaffPayroll[[#This Row],[Annual NF Wage Costs after WSB Minimum]]-StaffPayroll[[#This Row],[Annual NF Wage Costs before WSB Minimum]])</f>
        <v>0</v>
      </c>
      <c r="Q118" s="31">
        <f>IFERROR(IF(StaffPayroll[[#This Row],[Annual Cost of Wage Increase included in Rate Adjustment]]=0,0,P118*'Facility Info Input'!$F$10),0)</f>
        <v>0</v>
      </c>
      <c r="R118" s="32">
        <f>IFERROR(IF(StaffPayroll[[#This Row],[Annual Cost of Wage Increase included in Rate Adjustment]]=0,0,IF('Facility Info Input'!$F$11&lt;=0,0,P118*'Facility Info Input'!$F$11)),0)</f>
        <v>0</v>
      </c>
      <c r="S118" s="32">
        <f>IFERROR(IF(StaffPayroll[[#This Row],[Annual Cost of Wage Increase included in Rate Adjustment]]=0,0,IF('Facility Info Input'!$F$12&lt;=0,0,P118*'Facility Info Input'!$F$12)),0)</f>
        <v>0</v>
      </c>
      <c r="T118" s="32">
        <f t="shared" si="2"/>
        <v>0</v>
      </c>
      <c r="U118" s="33">
        <f t="shared" si="3"/>
        <v>0</v>
      </c>
    </row>
    <row r="119" spans="1:21">
      <c r="A119" s="76"/>
      <c r="B119" s="77"/>
      <c r="C119" s="81"/>
      <c r="D119" s="82"/>
      <c r="E119" s="82"/>
      <c r="F119" s="83"/>
      <c r="G119" s="84"/>
      <c r="H119" s="85"/>
      <c r="I119" s="71" t="e">
        <f>#REF!&amp;" "&amp;StaffPayroll[[#This Row],[Employee ID Number / Code]]</f>
        <v>#REF!</v>
      </c>
      <c r="J119" s="71" t="str">
        <f>_xlfn.IFNA(VLOOKUP(StaffPayroll[[#This Row],[Position / Title]],Lists!A:C,3,FALSE),"")</f>
        <v/>
      </c>
      <c r="K119" s="71">
        <f>StaffPayroll[[#This Row],[Payroll Period Ends Date (Minimum two months)]]-StaffPayroll[[#This Row],[Payroll Period Begins Date        (Must start after 6/1/2025)]]+1</f>
        <v>1</v>
      </c>
      <c r="L119" s="38">
        <f>IFERROR(IF(VLOOKUP(J119,'Facility Info Input'!$B$25:$D$34,3,FALSE)="",1,VLOOKUP(J119,'Facility Info Input'!$B$25:$D$34,3,FALSE)),0)</f>
        <v>0</v>
      </c>
      <c r="M119" s="22" t="str">
        <f>IF(StaffPayroll[[#This Row],[Employee ID Number / Code]]="","",IF(StaffPayroll[[#This Row],[Position / Title]]="","",VLOOKUP(StaffPayroll[[#This Row],[Position / Title]],Lists!A:C,2,FALSE)))</f>
        <v/>
      </c>
      <c r="N119" s="22">
        <f>IF(C119="",0,StaffPayroll[[#This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1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19" s="31">
        <f>IF(StaffPayroll[[#This Row],[Hourly WSB  Wage Minimum]]="",0,StaffPayroll[[#This Row],[Annual NF Wage Costs after WSB Minimum]]-StaffPayroll[[#This Row],[Annual NF Wage Costs before WSB Minimum]])</f>
        <v>0</v>
      </c>
      <c r="Q119" s="31">
        <f>IFERROR(IF(StaffPayroll[[#This Row],[Annual Cost of Wage Increase included in Rate Adjustment]]=0,0,P119*'Facility Info Input'!$F$10),0)</f>
        <v>0</v>
      </c>
      <c r="R119" s="32">
        <f>IFERROR(IF(StaffPayroll[[#This Row],[Annual Cost of Wage Increase included in Rate Adjustment]]=0,0,IF('Facility Info Input'!$F$11&lt;=0,0,P119*'Facility Info Input'!$F$11)),0)</f>
        <v>0</v>
      </c>
      <c r="S119" s="32">
        <f>IFERROR(IF(StaffPayroll[[#This Row],[Annual Cost of Wage Increase included in Rate Adjustment]]=0,0,IF('Facility Info Input'!$F$12&lt;=0,0,P119*'Facility Info Input'!$F$12)),0)</f>
        <v>0</v>
      </c>
      <c r="T119" s="32">
        <f t="shared" si="2"/>
        <v>0</v>
      </c>
      <c r="U119" s="33">
        <f t="shared" si="3"/>
        <v>0</v>
      </c>
    </row>
    <row r="120" spans="1:21">
      <c r="A120" s="76"/>
      <c r="B120" s="77"/>
      <c r="C120" s="81"/>
      <c r="D120" s="82"/>
      <c r="E120" s="82"/>
      <c r="F120" s="83"/>
      <c r="G120" s="84"/>
      <c r="H120" s="85"/>
      <c r="I120" s="71" t="e">
        <f>#REF!&amp;" "&amp;StaffPayroll[[#This Row],[Employee ID Number / Code]]</f>
        <v>#REF!</v>
      </c>
      <c r="J120" s="71" t="str">
        <f>_xlfn.IFNA(VLOOKUP(StaffPayroll[[#This Row],[Position / Title]],Lists!A:C,3,FALSE),"")</f>
        <v/>
      </c>
      <c r="K120" s="71">
        <f>StaffPayroll[[#This Row],[Payroll Period Ends Date (Minimum two months)]]-StaffPayroll[[#This Row],[Payroll Period Begins Date        (Must start after 6/1/2025)]]+1</f>
        <v>1</v>
      </c>
      <c r="L120" s="38">
        <f>IFERROR(IF(VLOOKUP(J120,'Facility Info Input'!$B$25:$D$34,3,FALSE)="",1,VLOOKUP(J120,'Facility Info Input'!$B$25:$D$34,3,FALSE)),0)</f>
        <v>0</v>
      </c>
      <c r="M120" s="22" t="str">
        <f>IF(StaffPayroll[[#This Row],[Employee ID Number / Code]]="","",IF(StaffPayroll[[#This Row],[Position / Title]]="","",VLOOKUP(StaffPayroll[[#This Row],[Position / Title]],Lists!A:C,2,FALSE)))</f>
        <v/>
      </c>
      <c r="N120" s="22">
        <f>IF(C120="",0,StaffPayroll[[#This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0" s="31">
        <f>IF(StaffPayroll[[#This Row],[Hourly WSB  Wage Minimum]]="",0,StaffPayroll[[#This Row],[Annual NF Wage Costs after WSB Minimum]]-StaffPayroll[[#This Row],[Annual NF Wage Costs before WSB Minimum]])</f>
        <v>0</v>
      </c>
      <c r="Q120" s="31">
        <f>IFERROR(IF(StaffPayroll[[#This Row],[Annual Cost of Wage Increase included in Rate Adjustment]]=0,0,P120*'Facility Info Input'!$F$10),0)</f>
        <v>0</v>
      </c>
      <c r="R120" s="32">
        <f>IFERROR(IF(StaffPayroll[[#This Row],[Annual Cost of Wage Increase included in Rate Adjustment]]=0,0,IF('Facility Info Input'!$F$11&lt;=0,0,P120*'Facility Info Input'!$F$11)),0)</f>
        <v>0</v>
      </c>
      <c r="S120" s="32">
        <f>IFERROR(IF(StaffPayroll[[#This Row],[Annual Cost of Wage Increase included in Rate Adjustment]]=0,0,IF('Facility Info Input'!$F$12&lt;=0,0,P120*'Facility Info Input'!$F$12)),0)</f>
        <v>0</v>
      </c>
      <c r="T120" s="32">
        <f t="shared" si="2"/>
        <v>0</v>
      </c>
      <c r="U120" s="33">
        <f t="shared" si="3"/>
        <v>0</v>
      </c>
    </row>
    <row r="121" spans="1:21">
      <c r="A121" s="76"/>
      <c r="B121" s="77"/>
      <c r="C121" s="81"/>
      <c r="D121" s="82"/>
      <c r="E121" s="82"/>
      <c r="F121" s="83"/>
      <c r="G121" s="84"/>
      <c r="H121" s="85"/>
      <c r="I121" s="71" t="e">
        <f>#REF!&amp;" "&amp;StaffPayroll[[#This Row],[Employee ID Number / Code]]</f>
        <v>#REF!</v>
      </c>
      <c r="J121" s="71" t="str">
        <f>_xlfn.IFNA(VLOOKUP(StaffPayroll[[#This Row],[Position / Title]],Lists!A:C,3,FALSE),"")</f>
        <v/>
      </c>
      <c r="K121" s="71">
        <f>StaffPayroll[[#This Row],[Payroll Period Ends Date (Minimum two months)]]-StaffPayroll[[#This Row],[Payroll Period Begins Date        (Must start after 6/1/2025)]]+1</f>
        <v>1</v>
      </c>
      <c r="L121" s="38">
        <f>IFERROR(IF(VLOOKUP(J121,'Facility Info Input'!$B$25:$D$34,3,FALSE)="",1,VLOOKUP(J121,'Facility Info Input'!$B$25:$D$34,3,FALSE)),0)</f>
        <v>0</v>
      </c>
      <c r="M121" s="22" t="str">
        <f>IF(StaffPayroll[[#This Row],[Employee ID Number / Code]]="","",IF(StaffPayroll[[#This Row],[Position / Title]]="","",VLOOKUP(StaffPayroll[[#This Row],[Position / Title]],Lists!A:C,2,FALSE)))</f>
        <v/>
      </c>
      <c r="N121" s="22">
        <f>IF(C121="",0,StaffPayroll[[#This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1" s="31">
        <f>IF(StaffPayroll[[#This Row],[Hourly WSB  Wage Minimum]]="",0,StaffPayroll[[#This Row],[Annual NF Wage Costs after WSB Minimum]]-StaffPayroll[[#This Row],[Annual NF Wage Costs before WSB Minimum]])</f>
        <v>0</v>
      </c>
      <c r="Q121" s="31">
        <f>IFERROR(IF(StaffPayroll[[#This Row],[Annual Cost of Wage Increase included in Rate Adjustment]]=0,0,P121*'Facility Info Input'!$F$10),0)</f>
        <v>0</v>
      </c>
      <c r="R121" s="32">
        <f>IFERROR(IF(StaffPayroll[[#This Row],[Annual Cost of Wage Increase included in Rate Adjustment]]=0,0,IF('Facility Info Input'!$F$11&lt;=0,0,P121*'Facility Info Input'!$F$11)),0)</f>
        <v>0</v>
      </c>
      <c r="S121" s="32">
        <f>IFERROR(IF(StaffPayroll[[#This Row],[Annual Cost of Wage Increase included in Rate Adjustment]]=0,0,IF('Facility Info Input'!$F$12&lt;=0,0,P121*'Facility Info Input'!$F$12)),0)</f>
        <v>0</v>
      </c>
      <c r="T121" s="32">
        <f t="shared" si="2"/>
        <v>0</v>
      </c>
      <c r="U121" s="33">
        <f t="shared" si="3"/>
        <v>0</v>
      </c>
    </row>
    <row r="122" spans="1:21">
      <c r="A122" s="76"/>
      <c r="B122" s="77"/>
      <c r="C122" s="81"/>
      <c r="D122" s="82"/>
      <c r="E122" s="82"/>
      <c r="F122" s="83"/>
      <c r="G122" s="84"/>
      <c r="H122" s="85"/>
      <c r="I122" s="71" t="e">
        <f>#REF!&amp;" "&amp;StaffPayroll[[#This Row],[Employee ID Number / Code]]</f>
        <v>#REF!</v>
      </c>
      <c r="J122" s="71" t="str">
        <f>_xlfn.IFNA(VLOOKUP(StaffPayroll[[#This Row],[Position / Title]],Lists!A:C,3,FALSE),"")</f>
        <v/>
      </c>
      <c r="K122" s="71">
        <f>StaffPayroll[[#This Row],[Payroll Period Ends Date (Minimum two months)]]-StaffPayroll[[#This Row],[Payroll Period Begins Date        (Must start after 6/1/2025)]]+1</f>
        <v>1</v>
      </c>
      <c r="L122" s="38">
        <f>IFERROR(IF(VLOOKUP(J122,'Facility Info Input'!$B$25:$D$34,3,FALSE)="",1,VLOOKUP(J122,'Facility Info Input'!$B$25:$D$34,3,FALSE)),0)</f>
        <v>0</v>
      </c>
      <c r="M122" s="22" t="str">
        <f>IF(StaffPayroll[[#This Row],[Employee ID Number / Code]]="","",IF(StaffPayroll[[#This Row],[Position / Title]]="","",VLOOKUP(StaffPayroll[[#This Row],[Position / Title]],Lists!A:C,2,FALSE)))</f>
        <v/>
      </c>
      <c r="N122" s="22">
        <f>IF(C122="",0,StaffPayroll[[#This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2" s="31">
        <f>IF(StaffPayroll[[#This Row],[Hourly WSB  Wage Minimum]]="",0,StaffPayroll[[#This Row],[Annual NF Wage Costs after WSB Minimum]]-StaffPayroll[[#This Row],[Annual NF Wage Costs before WSB Minimum]])</f>
        <v>0</v>
      </c>
      <c r="Q122" s="31">
        <f>IFERROR(IF(StaffPayroll[[#This Row],[Annual Cost of Wage Increase included in Rate Adjustment]]=0,0,P122*'Facility Info Input'!$F$10),0)</f>
        <v>0</v>
      </c>
      <c r="R122" s="32">
        <f>IFERROR(IF(StaffPayroll[[#This Row],[Annual Cost of Wage Increase included in Rate Adjustment]]=0,0,IF('Facility Info Input'!$F$11&lt;=0,0,P122*'Facility Info Input'!$F$11)),0)</f>
        <v>0</v>
      </c>
      <c r="S122" s="32">
        <f>IFERROR(IF(StaffPayroll[[#This Row],[Annual Cost of Wage Increase included in Rate Adjustment]]=0,0,IF('Facility Info Input'!$F$12&lt;=0,0,P122*'Facility Info Input'!$F$12)),0)</f>
        <v>0</v>
      </c>
      <c r="T122" s="32">
        <f t="shared" si="2"/>
        <v>0</v>
      </c>
      <c r="U122" s="33">
        <f t="shared" si="3"/>
        <v>0</v>
      </c>
    </row>
    <row r="123" spans="1:21">
      <c r="A123" s="76"/>
      <c r="B123" s="77"/>
      <c r="C123" s="81"/>
      <c r="D123" s="82"/>
      <c r="E123" s="82"/>
      <c r="F123" s="83"/>
      <c r="G123" s="84"/>
      <c r="H123" s="85"/>
      <c r="I123" s="71" t="e">
        <f>#REF!&amp;" "&amp;StaffPayroll[[#This Row],[Employee ID Number / Code]]</f>
        <v>#REF!</v>
      </c>
      <c r="J123" s="71" t="str">
        <f>_xlfn.IFNA(VLOOKUP(StaffPayroll[[#This Row],[Position / Title]],Lists!A:C,3,FALSE),"")</f>
        <v/>
      </c>
      <c r="K123" s="71">
        <f>StaffPayroll[[#This Row],[Payroll Period Ends Date (Minimum two months)]]-StaffPayroll[[#This Row],[Payroll Period Begins Date        (Must start after 6/1/2025)]]+1</f>
        <v>1</v>
      </c>
      <c r="L123" s="38">
        <f>IFERROR(IF(VLOOKUP(J123,'Facility Info Input'!$B$25:$D$34,3,FALSE)="",1,VLOOKUP(J123,'Facility Info Input'!$B$25:$D$34,3,FALSE)),0)</f>
        <v>0</v>
      </c>
      <c r="M123" s="22" t="str">
        <f>IF(StaffPayroll[[#This Row],[Employee ID Number / Code]]="","",IF(StaffPayroll[[#This Row],[Position / Title]]="","",VLOOKUP(StaffPayroll[[#This Row],[Position / Title]],Lists!A:C,2,FALSE)))</f>
        <v/>
      </c>
      <c r="N123" s="22">
        <f>IF(C123="",0,StaffPayroll[[#This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3" s="31">
        <f>IF(StaffPayroll[[#This Row],[Hourly WSB  Wage Minimum]]="",0,StaffPayroll[[#This Row],[Annual NF Wage Costs after WSB Minimum]]-StaffPayroll[[#This Row],[Annual NF Wage Costs before WSB Minimum]])</f>
        <v>0</v>
      </c>
      <c r="Q123" s="31">
        <f>IFERROR(IF(StaffPayroll[[#This Row],[Annual Cost of Wage Increase included in Rate Adjustment]]=0,0,P123*'Facility Info Input'!$F$10),0)</f>
        <v>0</v>
      </c>
      <c r="R123" s="32">
        <f>IFERROR(IF(StaffPayroll[[#This Row],[Annual Cost of Wage Increase included in Rate Adjustment]]=0,0,IF('Facility Info Input'!$F$11&lt;=0,0,P123*'Facility Info Input'!$F$11)),0)</f>
        <v>0</v>
      </c>
      <c r="S123" s="32">
        <f>IFERROR(IF(StaffPayroll[[#This Row],[Annual Cost of Wage Increase included in Rate Adjustment]]=0,0,IF('Facility Info Input'!$F$12&lt;=0,0,P123*'Facility Info Input'!$F$12)),0)</f>
        <v>0</v>
      </c>
      <c r="T123" s="32">
        <f t="shared" si="2"/>
        <v>0</v>
      </c>
      <c r="U123" s="33">
        <f t="shared" si="3"/>
        <v>0</v>
      </c>
    </row>
    <row r="124" spans="1:21">
      <c r="A124" s="76"/>
      <c r="B124" s="77"/>
      <c r="C124" s="81"/>
      <c r="D124" s="82"/>
      <c r="E124" s="82"/>
      <c r="F124" s="83"/>
      <c r="G124" s="84"/>
      <c r="H124" s="85"/>
      <c r="I124" s="71" t="e">
        <f>#REF!&amp;" "&amp;StaffPayroll[[#This Row],[Employee ID Number / Code]]</f>
        <v>#REF!</v>
      </c>
      <c r="J124" s="71" t="str">
        <f>_xlfn.IFNA(VLOOKUP(StaffPayroll[[#This Row],[Position / Title]],Lists!A:C,3,FALSE),"")</f>
        <v/>
      </c>
      <c r="K124" s="71">
        <f>StaffPayroll[[#This Row],[Payroll Period Ends Date (Minimum two months)]]-StaffPayroll[[#This Row],[Payroll Period Begins Date        (Must start after 6/1/2025)]]+1</f>
        <v>1</v>
      </c>
      <c r="L124" s="38">
        <f>IFERROR(IF(VLOOKUP(J124,'Facility Info Input'!$B$25:$D$34,3,FALSE)="",1,VLOOKUP(J124,'Facility Info Input'!$B$25:$D$34,3,FALSE)),0)</f>
        <v>0</v>
      </c>
      <c r="M124" s="22" t="str">
        <f>IF(StaffPayroll[[#This Row],[Employee ID Number / Code]]="","",IF(StaffPayroll[[#This Row],[Position / Title]]="","",VLOOKUP(StaffPayroll[[#This Row],[Position / Title]],Lists!A:C,2,FALSE)))</f>
        <v/>
      </c>
      <c r="N124" s="22">
        <f>IF(C124="",0,StaffPayroll[[#This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4" s="31">
        <f>IF(StaffPayroll[[#This Row],[Hourly WSB  Wage Minimum]]="",0,StaffPayroll[[#This Row],[Annual NF Wage Costs after WSB Minimum]]-StaffPayroll[[#This Row],[Annual NF Wage Costs before WSB Minimum]])</f>
        <v>0</v>
      </c>
      <c r="Q124" s="31">
        <f>IFERROR(IF(StaffPayroll[[#This Row],[Annual Cost of Wage Increase included in Rate Adjustment]]=0,0,P124*'Facility Info Input'!$F$10),0)</f>
        <v>0</v>
      </c>
      <c r="R124" s="32">
        <f>IFERROR(IF(StaffPayroll[[#This Row],[Annual Cost of Wage Increase included in Rate Adjustment]]=0,0,IF('Facility Info Input'!$F$11&lt;=0,0,P124*'Facility Info Input'!$F$11)),0)</f>
        <v>0</v>
      </c>
      <c r="S124" s="32">
        <f>IFERROR(IF(StaffPayroll[[#This Row],[Annual Cost of Wage Increase included in Rate Adjustment]]=0,0,IF('Facility Info Input'!$F$12&lt;=0,0,P124*'Facility Info Input'!$F$12)),0)</f>
        <v>0</v>
      </c>
      <c r="T124" s="32">
        <f t="shared" si="2"/>
        <v>0</v>
      </c>
      <c r="U124" s="33">
        <f t="shared" si="3"/>
        <v>0</v>
      </c>
    </row>
    <row r="125" spans="1:21">
      <c r="A125" s="76"/>
      <c r="B125" s="77"/>
      <c r="C125" s="81"/>
      <c r="D125" s="82"/>
      <c r="E125" s="82"/>
      <c r="F125" s="83"/>
      <c r="G125" s="84"/>
      <c r="H125" s="85"/>
      <c r="I125" s="71" t="e">
        <f>#REF!&amp;" "&amp;StaffPayroll[[#This Row],[Employee ID Number / Code]]</f>
        <v>#REF!</v>
      </c>
      <c r="J125" s="71" t="str">
        <f>_xlfn.IFNA(VLOOKUP(StaffPayroll[[#This Row],[Position / Title]],Lists!A:C,3,FALSE),"")</f>
        <v/>
      </c>
      <c r="K125" s="71">
        <f>StaffPayroll[[#This Row],[Payroll Period Ends Date (Minimum two months)]]-StaffPayroll[[#This Row],[Payroll Period Begins Date        (Must start after 6/1/2025)]]+1</f>
        <v>1</v>
      </c>
      <c r="L125" s="38">
        <f>IFERROR(IF(VLOOKUP(J125,'Facility Info Input'!$B$25:$D$34,3,FALSE)="",1,VLOOKUP(J125,'Facility Info Input'!$B$25:$D$34,3,FALSE)),0)</f>
        <v>0</v>
      </c>
      <c r="M125" s="22" t="str">
        <f>IF(StaffPayroll[[#This Row],[Employee ID Number / Code]]="","",IF(StaffPayroll[[#This Row],[Position / Title]]="","",VLOOKUP(StaffPayroll[[#This Row],[Position / Title]],Lists!A:C,2,FALSE)))</f>
        <v/>
      </c>
      <c r="N125" s="22">
        <f>IF(C125="",0,StaffPayroll[[#This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5" s="31">
        <f>IF(StaffPayroll[[#This Row],[Hourly WSB  Wage Minimum]]="",0,StaffPayroll[[#This Row],[Annual NF Wage Costs after WSB Minimum]]-StaffPayroll[[#This Row],[Annual NF Wage Costs before WSB Minimum]])</f>
        <v>0</v>
      </c>
      <c r="Q125" s="31">
        <f>IFERROR(IF(StaffPayroll[[#This Row],[Annual Cost of Wage Increase included in Rate Adjustment]]=0,0,P125*'Facility Info Input'!$F$10),0)</f>
        <v>0</v>
      </c>
      <c r="R125" s="32">
        <f>IFERROR(IF(StaffPayroll[[#This Row],[Annual Cost of Wage Increase included in Rate Adjustment]]=0,0,IF('Facility Info Input'!$F$11&lt;=0,0,P125*'Facility Info Input'!$F$11)),0)</f>
        <v>0</v>
      </c>
      <c r="S125" s="32">
        <f>IFERROR(IF(StaffPayroll[[#This Row],[Annual Cost of Wage Increase included in Rate Adjustment]]=0,0,IF('Facility Info Input'!$F$12&lt;=0,0,P125*'Facility Info Input'!$F$12)),0)</f>
        <v>0</v>
      </c>
      <c r="T125" s="32">
        <f t="shared" si="2"/>
        <v>0</v>
      </c>
      <c r="U125" s="33">
        <f t="shared" si="3"/>
        <v>0</v>
      </c>
    </row>
    <row r="126" spans="1:21">
      <c r="A126" s="76"/>
      <c r="B126" s="77"/>
      <c r="C126" s="81"/>
      <c r="D126" s="82"/>
      <c r="E126" s="82"/>
      <c r="F126" s="83"/>
      <c r="G126" s="84"/>
      <c r="H126" s="85"/>
      <c r="I126" s="71" t="e">
        <f>#REF!&amp;" "&amp;StaffPayroll[[#This Row],[Employee ID Number / Code]]</f>
        <v>#REF!</v>
      </c>
      <c r="J126" s="71" t="str">
        <f>_xlfn.IFNA(VLOOKUP(StaffPayroll[[#This Row],[Position / Title]],Lists!A:C,3,FALSE),"")</f>
        <v/>
      </c>
      <c r="K126" s="71">
        <f>StaffPayroll[[#This Row],[Payroll Period Ends Date (Minimum two months)]]-StaffPayroll[[#This Row],[Payroll Period Begins Date        (Must start after 6/1/2025)]]+1</f>
        <v>1</v>
      </c>
      <c r="L126" s="38">
        <f>IFERROR(IF(VLOOKUP(J126,'Facility Info Input'!$B$25:$D$34,3,FALSE)="",1,VLOOKUP(J126,'Facility Info Input'!$B$25:$D$34,3,FALSE)),0)</f>
        <v>0</v>
      </c>
      <c r="M126" s="22" t="str">
        <f>IF(StaffPayroll[[#This Row],[Employee ID Number / Code]]="","",IF(StaffPayroll[[#This Row],[Position / Title]]="","",VLOOKUP(StaffPayroll[[#This Row],[Position / Title]],Lists!A:C,2,FALSE)))</f>
        <v/>
      </c>
      <c r="N126" s="22">
        <f>IF(C126="",0,StaffPayroll[[#This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6" s="31">
        <f>IF(StaffPayroll[[#This Row],[Hourly WSB  Wage Minimum]]="",0,StaffPayroll[[#This Row],[Annual NF Wage Costs after WSB Minimum]]-StaffPayroll[[#This Row],[Annual NF Wage Costs before WSB Minimum]])</f>
        <v>0</v>
      </c>
      <c r="Q126" s="31">
        <f>IFERROR(IF(StaffPayroll[[#This Row],[Annual Cost of Wage Increase included in Rate Adjustment]]=0,0,P126*'Facility Info Input'!$F$10),0)</f>
        <v>0</v>
      </c>
      <c r="R126" s="32">
        <f>IFERROR(IF(StaffPayroll[[#This Row],[Annual Cost of Wage Increase included in Rate Adjustment]]=0,0,IF('Facility Info Input'!$F$11&lt;=0,0,P126*'Facility Info Input'!$F$11)),0)</f>
        <v>0</v>
      </c>
      <c r="S126" s="32">
        <f>IFERROR(IF(StaffPayroll[[#This Row],[Annual Cost of Wage Increase included in Rate Adjustment]]=0,0,IF('Facility Info Input'!$F$12&lt;=0,0,P126*'Facility Info Input'!$F$12)),0)</f>
        <v>0</v>
      </c>
      <c r="T126" s="32">
        <f t="shared" si="2"/>
        <v>0</v>
      </c>
      <c r="U126" s="33">
        <f t="shared" si="3"/>
        <v>0</v>
      </c>
    </row>
    <row r="127" spans="1:21">
      <c r="A127" s="76"/>
      <c r="B127" s="77"/>
      <c r="C127" s="81"/>
      <c r="D127" s="82"/>
      <c r="E127" s="82"/>
      <c r="F127" s="83"/>
      <c r="G127" s="84"/>
      <c r="H127" s="85"/>
      <c r="I127" s="71" t="e">
        <f>#REF!&amp;" "&amp;StaffPayroll[[#This Row],[Employee ID Number / Code]]</f>
        <v>#REF!</v>
      </c>
      <c r="J127" s="71" t="str">
        <f>_xlfn.IFNA(VLOOKUP(StaffPayroll[[#This Row],[Position / Title]],Lists!A:C,3,FALSE),"")</f>
        <v/>
      </c>
      <c r="K127" s="71">
        <f>StaffPayroll[[#This Row],[Payroll Period Ends Date (Minimum two months)]]-StaffPayroll[[#This Row],[Payroll Period Begins Date        (Must start after 6/1/2025)]]+1</f>
        <v>1</v>
      </c>
      <c r="L127" s="38">
        <f>IFERROR(IF(VLOOKUP(J127,'Facility Info Input'!$B$25:$D$34,3,FALSE)="",1,VLOOKUP(J127,'Facility Info Input'!$B$25:$D$34,3,FALSE)),0)</f>
        <v>0</v>
      </c>
      <c r="M127" s="22" t="str">
        <f>IF(StaffPayroll[[#This Row],[Employee ID Number / Code]]="","",IF(StaffPayroll[[#This Row],[Position / Title]]="","",VLOOKUP(StaffPayroll[[#This Row],[Position / Title]],Lists!A:C,2,FALSE)))</f>
        <v/>
      </c>
      <c r="N127" s="22">
        <f>IF(C127="",0,StaffPayroll[[#This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7" s="31">
        <f>IF(StaffPayroll[[#This Row],[Hourly WSB  Wage Minimum]]="",0,StaffPayroll[[#This Row],[Annual NF Wage Costs after WSB Minimum]]-StaffPayroll[[#This Row],[Annual NF Wage Costs before WSB Minimum]])</f>
        <v>0</v>
      </c>
      <c r="Q127" s="31">
        <f>IFERROR(IF(StaffPayroll[[#This Row],[Annual Cost of Wage Increase included in Rate Adjustment]]=0,0,P127*'Facility Info Input'!$F$10),0)</f>
        <v>0</v>
      </c>
      <c r="R127" s="32">
        <f>IFERROR(IF(StaffPayroll[[#This Row],[Annual Cost of Wage Increase included in Rate Adjustment]]=0,0,IF('Facility Info Input'!$F$11&lt;=0,0,P127*'Facility Info Input'!$F$11)),0)</f>
        <v>0</v>
      </c>
      <c r="S127" s="32">
        <f>IFERROR(IF(StaffPayroll[[#This Row],[Annual Cost of Wage Increase included in Rate Adjustment]]=0,0,IF('Facility Info Input'!$F$12&lt;=0,0,P127*'Facility Info Input'!$F$12)),0)</f>
        <v>0</v>
      </c>
      <c r="T127" s="32">
        <f t="shared" si="2"/>
        <v>0</v>
      </c>
      <c r="U127" s="33">
        <f t="shared" si="3"/>
        <v>0</v>
      </c>
    </row>
    <row r="128" spans="1:21">
      <c r="A128" s="76"/>
      <c r="B128" s="77"/>
      <c r="C128" s="81"/>
      <c r="D128" s="82"/>
      <c r="E128" s="82"/>
      <c r="F128" s="83"/>
      <c r="G128" s="84"/>
      <c r="H128" s="85"/>
      <c r="I128" s="71" t="e">
        <f>#REF!&amp;" "&amp;StaffPayroll[[#This Row],[Employee ID Number / Code]]</f>
        <v>#REF!</v>
      </c>
      <c r="J128" s="71" t="str">
        <f>_xlfn.IFNA(VLOOKUP(StaffPayroll[[#This Row],[Position / Title]],Lists!A:C,3,FALSE),"")</f>
        <v/>
      </c>
      <c r="K128" s="71">
        <f>StaffPayroll[[#This Row],[Payroll Period Ends Date (Minimum two months)]]-StaffPayroll[[#This Row],[Payroll Period Begins Date        (Must start after 6/1/2025)]]+1</f>
        <v>1</v>
      </c>
      <c r="L128" s="38">
        <f>IFERROR(IF(VLOOKUP(J128,'Facility Info Input'!$B$25:$D$34,3,FALSE)="",1,VLOOKUP(J128,'Facility Info Input'!$B$25:$D$34,3,FALSE)),0)</f>
        <v>0</v>
      </c>
      <c r="M128" s="22" t="str">
        <f>IF(StaffPayroll[[#This Row],[Employee ID Number / Code]]="","",IF(StaffPayroll[[#This Row],[Position / Title]]="","",VLOOKUP(StaffPayroll[[#This Row],[Position / Title]],Lists!A:C,2,FALSE)))</f>
        <v/>
      </c>
      <c r="N128" s="22">
        <f>IF(C128="",0,StaffPayroll[[#This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8" s="31">
        <f>IF(StaffPayroll[[#This Row],[Hourly WSB  Wage Minimum]]="",0,StaffPayroll[[#This Row],[Annual NF Wage Costs after WSB Minimum]]-StaffPayroll[[#This Row],[Annual NF Wage Costs before WSB Minimum]])</f>
        <v>0</v>
      </c>
      <c r="Q128" s="31">
        <f>IFERROR(IF(StaffPayroll[[#This Row],[Annual Cost of Wage Increase included in Rate Adjustment]]=0,0,P128*'Facility Info Input'!$F$10),0)</f>
        <v>0</v>
      </c>
      <c r="R128" s="32">
        <f>IFERROR(IF(StaffPayroll[[#This Row],[Annual Cost of Wage Increase included in Rate Adjustment]]=0,0,IF('Facility Info Input'!$F$11&lt;=0,0,P128*'Facility Info Input'!$F$11)),0)</f>
        <v>0</v>
      </c>
      <c r="S128" s="32">
        <f>IFERROR(IF(StaffPayroll[[#This Row],[Annual Cost of Wage Increase included in Rate Adjustment]]=0,0,IF('Facility Info Input'!$F$12&lt;=0,0,P128*'Facility Info Input'!$F$12)),0)</f>
        <v>0</v>
      </c>
      <c r="T128" s="32">
        <f t="shared" si="2"/>
        <v>0</v>
      </c>
      <c r="U128" s="33">
        <f t="shared" si="3"/>
        <v>0</v>
      </c>
    </row>
    <row r="129" spans="1:21">
      <c r="A129" s="76"/>
      <c r="B129" s="77"/>
      <c r="C129" s="81"/>
      <c r="D129" s="82"/>
      <c r="E129" s="82"/>
      <c r="F129" s="83"/>
      <c r="G129" s="84"/>
      <c r="H129" s="85"/>
      <c r="I129" s="71" t="e">
        <f>#REF!&amp;" "&amp;StaffPayroll[[#This Row],[Employee ID Number / Code]]</f>
        <v>#REF!</v>
      </c>
      <c r="J129" s="71" t="str">
        <f>_xlfn.IFNA(VLOOKUP(StaffPayroll[[#This Row],[Position / Title]],Lists!A:C,3,FALSE),"")</f>
        <v/>
      </c>
      <c r="K129" s="71">
        <f>StaffPayroll[[#This Row],[Payroll Period Ends Date (Minimum two months)]]-StaffPayroll[[#This Row],[Payroll Period Begins Date        (Must start after 6/1/2025)]]+1</f>
        <v>1</v>
      </c>
      <c r="L129" s="38">
        <f>IFERROR(IF(VLOOKUP(J129,'Facility Info Input'!$B$25:$D$34,3,FALSE)="",1,VLOOKUP(J129,'Facility Info Input'!$B$25:$D$34,3,FALSE)),0)</f>
        <v>0</v>
      </c>
      <c r="M129" s="22" t="str">
        <f>IF(StaffPayroll[[#This Row],[Employee ID Number / Code]]="","",IF(StaffPayroll[[#This Row],[Position / Title]]="","",VLOOKUP(StaffPayroll[[#This Row],[Position / Title]],Lists!A:C,2,FALSE)))</f>
        <v/>
      </c>
      <c r="N129" s="22">
        <f>IF(C129="",0,StaffPayroll[[#This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2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29" s="31">
        <f>IF(StaffPayroll[[#This Row],[Hourly WSB  Wage Minimum]]="",0,StaffPayroll[[#This Row],[Annual NF Wage Costs after WSB Minimum]]-StaffPayroll[[#This Row],[Annual NF Wage Costs before WSB Minimum]])</f>
        <v>0</v>
      </c>
      <c r="Q129" s="31">
        <f>IFERROR(IF(StaffPayroll[[#This Row],[Annual Cost of Wage Increase included in Rate Adjustment]]=0,0,P129*'Facility Info Input'!$F$10),0)</f>
        <v>0</v>
      </c>
      <c r="R129" s="32">
        <f>IFERROR(IF(StaffPayroll[[#This Row],[Annual Cost of Wage Increase included in Rate Adjustment]]=0,0,IF('Facility Info Input'!$F$11&lt;=0,0,P129*'Facility Info Input'!$F$11)),0)</f>
        <v>0</v>
      </c>
      <c r="S129" s="32">
        <f>IFERROR(IF(StaffPayroll[[#This Row],[Annual Cost of Wage Increase included in Rate Adjustment]]=0,0,IF('Facility Info Input'!$F$12&lt;=0,0,P129*'Facility Info Input'!$F$12)),0)</f>
        <v>0</v>
      </c>
      <c r="T129" s="32">
        <f t="shared" si="2"/>
        <v>0</v>
      </c>
      <c r="U129" s="33">
        <f t="shared" si="3"/>
        <v>0</v>
      </c>
    </row>
    <row r="130" spans="1:21">
      <c r="A130" s="76"/>
      <c r="B130" s="77"/>
      <c r="C130" s="81"/>
      <c r="D130" s="82"/>
      <c r="E130" s="82"/>
      <c r="F130" s="83"/>
      <c r="G130" s="84"/>
      <c r="H130" s="85"/>
      <c r="I130" s="71" t="e">
        <f>#REF!&amp;" "&amp;StaffPayroll[[#This Row],[Employee ID Number / Code]]</f>
        <v>#REF!</v>
      </c>
      <c r="J130" s="71" t="str">
        <f>_xlfn.IFNA(VLOOKUP(StaffPayroll[[#This Row],[Position / Title]],Lists!A:C,3,FALSE),"")</f>
        <v/>
      </c>
      <c r="K130" s="71">
        <f>StaffPayroll[[#This Row],[Payroll Period Ends Date (Minimum two months)]]-StaffPayroll[[#This Row],[Payroll Period Begins Date        (Must start after 6/1/2025)]]+1</f>
        <v>1</v>
      </c>
      <c r="L130" s="38">
        <f>IFERROR(IF(VLOOKUP(J130,'Facility Info Input'!$B$25:$D$34,3,FALSE)="",1,VLOOKUP(J130,'Facility Info Input'!$B$25:$D$34,3,FALSE)),0)</f>
        <v>0</v>
      </c>
      <c r="M130" s="22" t="str">
        <f>IF(StaffPayroll[[#This Row],[Employee ID Number / Code]]="","",IF(StaffPayroll[[#This Row],[Position / Title]]="","",VLOOKUP(StaffPayroll[[#This Row],[Position / Title]],Lists!A:C,2,FALSE)))</f>
        <v/>
      </c>
      <c r="N130" s="22">
        <f>IF(C130="",0,StaffPayroll[[#This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0" s="31">
        <f>IF(StaffPayroll[[#This Row],[Hourly WSB  Wage Minimum]]="",0,StaffPayroll[[#This Row],[Annual NF Wage Costs after WSB Minimum]]-StaffPayroll[[#This Row],[Annual NF Wage Costs before WSB Minimum]])</f>
        <v>0</v>
      </c>
      <c r="Q130" s="31">
        <f>IFERROR(IF(StaffPayroll[[#This Row],[Annual Cost of Wage Increase included in Rate Adjustment]]=0,0,P130*'Facility Info Input'!$F$10),0)</f>
        <v>0</v>
      </c>
      <c r="R130" s="32">
        <f>IFERROR(IF(StaffPayroll[[#This Row],[Annual Cost of Wage Increase included in Rate Adjustment]]=0,0,IF('Facility Info Input'!$F$11&lt;=0,0,P130*'Facility Info Input'!$F$11)),0)</f>
        <v>0</v>
      </c>
      <c r="S130" s="32">
        <f>IFERROR(IF(StaffPayroll[[#This Row],[Annual Cost of Wage Increase included in Rate Adjustment]]=0,0,IF('Facility Info Input'!$F$12&lt;=0,0,P130*'Facility Info Input'!$F$12)),0)</f>
        <v>0</v>
      </c>
      <c r="T130" s="32">
        <f t="shared" ref="T130:T193" si="4">IFERROR(IF(G130="Yes",H130*P130,0),0)</f>
        <v>0</v>
      </c>
      <c r="U130" s="33">
        <f t="shared" si="3"/>
        <v>0</v>
      </c>
    </row>
    <row r="131" spans="1:21">
      <c r="A131" s="76"/>
      <c r="B131" s="77"/>
      <c r="C131" s="81"/>
      <c r="D131" s="82"/>
      <c r="E131" s="82"/>
      <c r="F131" s="83"/>
      <c r="G131" s="84"/>
      <c r="H131" s="85"/>
      <c r="I131" s="71" t="e">
        <f>#REF!&amp;" "&amp;StaffPayroll[[#This Row],[Employee ID Number / Code]]</f>
        <v>#REF!</v>
      </c>
      <c r="J131" s="71" t="str">
        <f>_xlfn.IFNA(VLOOKUP(StaffPayroll[[#This Row],[Position / Title]],Lists!A:C,3,FALSE),"")</f>
        <v/>
      </c>
      <c r="K131" s="71">
        <f>StaffPayroll[[#This Row],[Payroll Period Ends Date (Minimum two months)]]-StaffPayroll[[#This Row],[Payroll Period Begins Date        (Must start after 6/1/2025)]]+1</f>
        <v>1</v>
      </c>
      <c r="L131" s="38">
        <f>IFERROR(IF(VLOOKUP(J131,'Facility Info Input'!$B$25:$D$34,3,FALSE)="",1,VLOOKUP(J131,'Facility Info Input'!$B$25:$D$34,3,FALSE)),0)</f>
        <v>0</v>
      </c>
      <c r="M131" s="22" t="str">
        <f>IF(StaffPayroll[[#This Row],[Employee ID Number / Code]]="","",IF(StaffPayroll[[#This Row],[Position / Title]]="","",VLOOKUP(StaffPayroll[[#This Row],[Position / Title]],Lists!A:C,2,FALSE)))</f>
        <v/>
      </c>
      <c r="N131" s="22">
        <f>IF(C131="",0,StaffPayroll[[#This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1" s="31">
        <f>IF(StaffPayroll[[#This Row],[Hourly WSB  Wage Minimum]]="",0,StaffPayroll[[#This Row],[Annual NF Wage Costs after WSB Minimum]]-StaffPayroll[[#This Row],[Annual NF Wage Costs before WSB Minimum]])</f>
        <v>0</v>
      </c>
      <c r="Q131" s="31">
        <f>IFERROR(IF(StaffPayroll[[#This Row],[Annual Cost of Wage Increase included in Rate Adjustment]]=0,0,P131*'Facility Info Input'!$F$10),0)</f>
        <v>0</v>
      </c>
      <c r="R131" s="32">
        <f>IFERROR(IF(StaffPayroll[[#This Row],[Annual Cost of Wage Increase included in Rate Adjustment]]=0,0,IF('Facility Info Input'!$F$11&lt;=0,0,P131*'Facility Info Input'!$F$11)),0)</f>
        <v>0</v>
      </c>
      <c r="S131" s="32">
        <f>IFERROR(IF(StaffPayroll[[#This Row],[Annual Cost of Wage Increase included in Rate Adjustment]]=0,0,IF('Facility Info Input'!$F$12&lt;=0,0,P131*'Facility Info Input'!$F$12)),0)</f>
        <v>0</v>
      </c>
      <c r="T131" s="32">
        <f t="shared" si="4"/>
        <v>0</v>
      </c>
      <c r="U131" s="33">
        <f t="shared" ref="U131:U194" si="5">IFERROR(SUM(P131:T131),0)</f>
        <v>0</v>
      </c>
    </row>
    <row r="132" spans="1:21">
      <c r="A132" s="76"/>
      <c r="B132" s="77"/>
      <c r="C132" s="81"/>
      <c r="D132" s="82"/>
      <c r="E132" s="82"/>
      <c r="F132" s="83"/>
      <c r="G132" s="84"/>
      <c r="H132" s="85"/>
      <c r="I132" s="71" t="e">
        <f>#REF!&amp;" "&amp;StaffPayroll[[#This Row],[Employee ID Number / Code]]</f>
        <v>#REF!</v>
      </c>
      <c r="J132" s="71" t="str">
        <f>_xlfn.IFNA(VLOOKUP(StaffPayroll[[#This Row],[Position / Title]],Lists!A:C,3,FALSE),"")</f>
        <v/>
      </c>
      <c r="K132" s="71">
        <f>StaffPayroll[[#This Row],[Payroll Period Ends Date (Minimum two months)]]-StaffPayroll[[#This Row],[Payroll Period Begins Date        (Must start after 6/1/2025)]]+1</f>
        <v>1</v>
      </c>
      <c r="L132" s="38">
        <f>IFERROR(IF(VLOOKUP(J132,'Facility Info Input'!$B$25:$D$34,3,FALSE)="",1,VLOOKUP(J132,'Facility Info Input'!$B$25:$D$34,3,FALSE)),0)</f>
        <v>0</v>
      </c>
      <c r="M132" s="22" t="str">
        <f>IF(StaffPayroll[[#This Row],[Employee ID Number / Code]]="","",IF(StaffPayroll[[#This Row],[Position / Title]]="","",VLOOKUP(StaffPayroll[[#This Row],[Position / Title]],Lists!A:C,2,FALSE)))</f>
        <v/>
      </c>
      <c r="N132" s="22">
        <f>IF(C132="",0,StaffPayroll[[#This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2" s="31">
        <f>IF(StaffPayroll[[#This Row],[Hourly WSB  Wage Minimum]]="",0,StaffPayroll[[#This Row],[Annual NF Wage Costs after WSB Minimum]]-StaffPayroll[[#This Row],[Annual NF Wage Costs before WSB Minimum]])</f>
        <v>0</v>
      </c>
      <c r="Q132" s="31">
        <f>IFERROR(IF(StaffPayroll[[#This Row],[Annual Cost of Wage Increase included in Rate Adjustment]]=0,0,P132*'Facility Info Input'!$F$10),0)</f>
        <v>0</v>
      </c>
      <c r="R132" s="32">
        <f>IFERROR(IF(StaffPayroll[[#This Row],[Annual Cost of Wage Increase included in Rate Adjustment]]=0,0,IF('Facility Info Input'!$F$11&lt;=0,0,P132*'Facility Info Input'!$F$11)),0)</f>
        <v>0</v>
      </c>
      <c r="S132" s="32">
        <f>IFERROR(IF(StaffPayroll[[#This Row],[Annual Cost of Wage Increase included in Rate Adjustment]]=0,0,IF('Facility Info Input'!$F$12&lt;=0,0,P132*'Facility Info Input'!$F$12)),0)</f>
        <v>0</v>
      </c>
      <c r="T132" s="32">
        <f t="shared" si="4"/>
        <v>0</v>
      </c>
      <c r="U132" s="33">
        <f t="shared" si="5"/>
        <v>0</v>
      </c>
    </row>
    <row r="133" spans="1:21">
      <c r="A133" s="76"/>
      <c r="B133" s="77"/>
      <c r="C133" s="81"/>
      <c r="D133" s="82"/>
      <c r="E133" s="82"/>
      <c r="F133" s="83"/>
      <c r="G133" s="84"/>
      <c r="H133" s="85"/>
      <c r="I133" s="71" t="e">
        <f>#REF!&amp;" "&amp;StaffPayroll[[#This Row],[Employee ID Number / Code]]</f>
        <v>#REF!</v>
      </c>
      <c r="J133" s="71" t="str">
        <f>_xlfn.IFNA(VLOOKUP(StaffPayroll[[#This Row],[Position / Title]],Lists!A:C,3,FALSE),"")</f>
        <v/>
      </c>
      <c r="K133" s="71">
        <f>StaffPayroll[[#This Row],[Payroll Period Ends Date (Minimum two months)]]-StaffPayroll[[#This Row],[Payroll Period Begins Date        (Must start after 6/1/2025)]]+1</f>
        <v>1</v>
      </c>
      <c r="L133" s="38">
        <f>IFERROR(IF(VLOOKUP(J133,'Facility Info Input'!$B$25:$D$34,3,FALSE)="",1,VLOOKUP(J133,'Facility Info Input'!$B$25:$D$34,3,FALSE)),0)</f>
        <v>0</v>
      </c>
      <c r="M133" s="22" t="str">
        <f>IF(StaffPayroll[[#This Row],[Employee ID Number / Code]]="","",IF(StaffPayroll[[#This Row],[Position / Title]]="","",VLOOKUP(StaffPayroll[[#This Row],[Position / Title]],Lists!A:C,2,FALSE)))</f>
        <v/>
      </c>
      <c r="N133" s="22">
        <f>IF(C133="",0,StaffPayroll[[#This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3" s="31">
        <f>IF(StaffPayroll[[#This Row],[Hourly WSB  Wage Minimum]]="",0,StaffPayroll[[#This Row],[Annual NF Wage Costs after WSB Minimum]]-StaffPayroll[[#This Row],[Annual NF Wage Costs before WSB Minimum]])</f>
        <v>0</v>
      </c>
      <c r="Q133" s="31">
        <f>IFERROR(IF(StaffPayroll[[#This Row],[Annual Cost of Wage Increase included in Rate Adjustment]]=0,0,P133*'Facility Info Input'!$F$10),0)</f>
        <v>0</v>
      </c>
      <c r="R133" s="32">
        <f>IFERROR(IF(StaffPayroll[[#This Row],[Annual Cost of Wage Increase included in Rate Adjustment]]=0,0,IF('Facility Info Input'!$F$11&lt;=0,0,P133*'Facility Info Input'!$F$11)),0)</f>
        <v>0</v>
      </c>
      <c r="S133" s="32">
        <f>IFERROR(IF(StaffPayroll[[#This Row],[Annual Cost of Wage Increase included in Rate Adjustment]]=0,0,IF('Facility Info Input'!$F$12&lt;=0,0,P133*'Facility Info Input'!$F$12)),0)</f>
        <v>0</v>
      </c>
      <c r="T133" s="32">
        <f t="shared" si="4"/>
        <v>0</v>
      </c>
      <c r="U133" s="33">
        <f t="shared" si="5"/>
        <v>0</v>
      </c>
    </row>
    <row r="134" spans="1:21">
      <c r="A134" s="76"/>
      <c r="B134" s="77"/>
      <c r="C134" s="81"/>
      <c r="D134" s="82"/>
      <c r="E134" s="82"/>
      <c r="F134" s="83"/>
      <c r="G134" s="84"/>
      <c r="H134" s="85"/>
      <c r="I134" s="71" t="e">
        <f>#REF!&amp;" "&amp;StaffPayroll[[#This Row],[Employee ID Number / Code]]</f>
        <v>#REF!</v>
      </c>
      <c r="J134" s="71" t="str">
        <f>_xlfn.IFNA(VLOOKUP(StaffPayroll[[#This Row],[Position / Title]],Lists!A:C,3,FALSE),"")</f>
        <v/>
      </c>
      <c r="K134" s="71">
        <f>StaffPayroll[[#This Row],[Payroll Period Ends Date (Minimum two months)]]-StaffPayroll[[#This Row],[Payroll Period Begins Date        (Must start after 6/1/2025)]]+1</f>
        <v>1</v>
      </c>
      <c r="L134" s="38">
        <f>IFERROR(IF(VLOOKUP(J134,'Facility Info Input'!$B$25:$D$34,3,FALSE)="",1,VLOOKUP(J134,'Facility Info Input'!$B$25:$D$34,3,FALSE)),0)</f>
        <v>0</v>
      </c>
      <c r="M134" s="22" t="str">
        <f>IF(StaffPayroll[[#This Row],[Employee ID Number / Code]]="","",IF(StaffPayroll[[#This Row],[Position / Title]]="","",VLOOKUP(StaffPayroll[[#This Row],[Position / Title]],Lists!A:C,2,FALSE)))</f>
        <v/>
      </c>
      <c r="N134" s="22">
        <f>IF(C134="",0,StaffPayroll[[#This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4" s="31">
        <f>IF(StaffPayroll[[#This Row],[Hourly WSB  Wage Minimum]]="",0,StaffPayroll[[#This Row],[Annual NF Wage Costs after WSB Minimum]]-StaffPayroll[[#This Row],[Annual NF Wage Costs before WSB Minimum]])</f>
        <v>0</v>
      </c>
      <c r="Q134" s="31">
        <f>IFERROR(IF(StaffPayroll[[#This Row],[Annual Cost of Wage Increase included in Rate Adjustment]]=0,0,P134*'Facility Info Input'!$F$10),0)</f>
        <v>0</v>
      </c>
      <c r="R134" s="32">
        <f>IFERROR(IF(StaffPayroll[[#This Row],[Annual Cost of Wage Increase included in Rate Adjustment]]=0,0,IF('Facility Info Input'!$F$11&lt;=0,0,P134*'Facility Info Input'!$F$11)),0)</f>
        <v>0</v>
      </c>
      <c r="S134" s="32">
        <f>IFERROR(IF(StaffPayroll[[#This Row],[Annual Cost of Wage Increase included in Rate Adjustment]]=0,0,IF('Facility Info Input'!$F$12&lt;=0,0,P134*'Facility Info Input'!$F$12)),0)</f>
        <v>0</v>
      </c>
      <c r="T134" s="32">
        <f t="shared" si="4"/>
        <v>0</v>
      </c>
      <c r="U134" s="33">
        <f t="shared" si="5"/>
        <v>0</v>
      </c>
    </row>
    <row r="135" spans="1:21">
      <c r="A135" s="76"/>
      <c r="B135" s="77"/>
      <c r="C135" s="81"/>
      <c r="D135" s="82"/>
      <c r="E135" s="82"/>
      <c r="F135" s="83"/>
      <c r="G135" s="84"/>
      <c r="H135" s="85"/>
      <c r="I135" s="71" t="e">
        <f>#REF!&amp;" "&amp;StaffPayroll[[#This Row],[Employee ID Number / Code]]</f>
        <v>#REF!</v>
      </c>
      <c r="J135" s="71" t="str">
        <f>_xlfn.IFNA(VLOOKUP(StaffPayroll[[#This Row],[Position / Title]],Lists!A:C,3,FALSE),"")</f>
        <v/>
      </c>
      <c r="K135" s="71">
        <f>StaffPayroll[[#This Row],[Payroll Period Ends Date (Minimum two months)]]-StaffPayroll[[#This Row],[Payroll Period Begins Date        (Must start after 6/1/2025)]]+1</f>
        <v>1</v>
      </c>
      <c r="L135" s="38">
        <f>IFERROR(IF(VLOOKUP(J135,'Facility Info Input'!$B$25:$D$34,3,FALSE)="",1,VLOOKUP(J135,'Facility Info Input'!$B$25:$D$34,3,FALSE)),0)</f>
        <v>0</v>
      </c>
      <c r="M135" s="22" t="str">
        <f>IF(StaffPayroll[[#This Row],[Employee ID Number / Code]]="","",IF(StaffPayroll[[#This Row],[Position / Title]]="","",VLOOKUP(StaffPayroll[[#This Row],[Position / Title]],Lists!A:C,2,FALSE)))</f>
        <v/>
      </c>
      <c r="N135" s="22">
        <f>IF(C135="",0,StaffPayroll[[#This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5" s="31">
        <f>IF(StaffPayroll[[#This Row],[Hourly WSB  Wage Minimum]]="",0,StaffPayroll[[#This Row],[Annual NF Wage Costs after WSB Minimum]]-StaffPayroll[[#This Row],[Annual NF Wage Costs before WSB Minimum]])</f>
        <v>0</v>
      </c>
      <c r="Q135" s="31">
        <f>IFERROR(IF(StaffPayroll[[#This Row],[Annual Cost of Wage Increase included in Rate Adjustment]]=0,0,P135*'Facility Info Input'!$F$10),0)</f>
        <v>0</v>
      </c>
      <c r="R135" s="32">
        <f>IFERROR(IF(StaffPayroll[[#This Row],[Annual Cost of Wage Increase included in Rate Adjustment]]=0,0,IF('Facility Info Input'!$F$11&lt;=0,0,P135*'Facility Info Input'!$F$11)),0)</f>
        <v>0</v>
      </c>
      <c r="S135" s="32">
        <f>IFERROR(IF(StaffPayroll[[#This Row],[Annual Cost of Wage Increase included in Rate Adjustment]]=0,0,IF('Facility Info Input'!$F$12&lt;=0,0,P135*'Facility Info Input'!$F$12)),0)</f>
        <v>0</v>
      </c>
      <c r="T135" s="32">
        <f t="shared" si="4"/>
        <v>0</v>
      </c>
      <c r="U135" s="33">
        <f t="shared" si="5"/>
        <v>0</v>
      </c>
    </row>
    <row r="136" spans="1:21">
      <c r="A136" s="76"/>
      <c r="B136" s="77"/>
      <c r="C136" s="81"/>
      <c r="D136" s="82"/>
      <c r="E136" s="82"/>
      <c r="F136" s="83"/>
      <c r="G136" s="84"/>
      <c r="H136" s="85"/>
      <c r="I136" s="71" t="e">
        <f>#REF!&amp;" "&amp;StaffPayroll[[#This Row],[Employee ID Number / Code]]</f>
        <v>#REF!</v>
      </c>
      <c r="J136" s="71" t="str">
        <f>_xlfn.IFNA(VLOOKUP(StaffPayroll[[#This Row],[Position / Title]],Lists!A:C,3,FALSE),"")</f>
        <v/>
      </c>
      <c r="K136" s="71">
        <f>StaffPayroll[[#This Row],[Payroll Period Ends Date (Minimum two months)]]-StaffPayroll[[#This Row],[Payroll Period Begins Date        (Must start after 6/1/2025)]]+1</f>
        <v>1</v>
      </c>
      <c r="L136" s="38">
        <f>IFERROR(IF(VLOOKUP(J136,'Facility Info Input'!$B$25:$D$34,3,FALSE)="",1,VLOOKUP(J136,'Facility Info Input'!$B$25:$D$34,3,FALSE)),0)</f>
        <v>0</v>
      </c>
      <c r="M136" s="22" t="str">
        <f>IF(StaffPayroll[[#This Row],[Employee ID Number / Code]]="","",IF(StaffPayroll[[#This Row],[Position / Title]]="","",VLOOKUP(StaffPayroll[[#This Row],[Position / Title]],Lists!A:C,2,FALSE)))</f>
        <v/>
      </c>
      <c r="N136" s="22">
        <f>IF(C136="",0,StaffPayroll[[#This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6" s="31">
        <f>IF(StaffPayroll[[#This Row],[Hourly WSB  Wage Minimum]]="",0,StaffPayroll[[#This Row],[Annual NF Wage Costs after WSB Minimum]]-StaffPayroll[[#This Row],[Annual NF Wage Costs before WSB Minimum]])</f>
        <v>0</v>
      </c>
      <c r="Q136" s="31">
        <f>IFERROR(IF(StaffPayroll[[#This Row],[Annual Cost of Wage Increase included in Rate Adjustment]]=0,0,P136*'Facility Info Input'!$F$10),0)</f>
        <v>0</v>
      </c>
      <c r="R136" s="32">
        <f>IFERROR(IF(StaffPayroll[[#This Row],[Annual Cost of Wage Increase included in Rate Adjustment]]=0,0,IF('Facility Info Input'!$F$11&lt;=0,0,P136*'Facility Info Input'!$F$11)),0)</f>
        <v>0</v>
      </c>
      <c r="S136" s="32">
        <f>IFERROR(IF(StaffPayroll[[#This Row],[Annual Cost of Wage Increase included in Rate Adjustment]]=0,0,IF('Facility Info Input'!$F$12&lt;=0,0,P136*'Facility Info Input'!$F$12)),0)</f>
        <v>0</v>
      </c>
      <c r="T136" s="32">
        <f t="shared" si="4"/>
        <v>0</v>
      </c>
      <c r="U136" s="33">
        <f t="shared" si="5"/>
        <v>0</v>
      </c>
    </row>
    <row r="137" spans="1:21">
      <c r="A137" s="76"/>
      <c r="B137" s="77"/>
      <c r="C137" s="81"/>
      <c r="D137" s="82"/>
      <c r="E137" s="82"/>
      <c r="F137" s="83"/>
      <c r="G137" s="84"/>
      <c r="H137" s="85"/>
      <c r="I137" s="71" t="e">
        <f>#REF!&amp;" "&amp;StaffPayroll[[#This Row],[Employee ID Number / Code]]</f>
        <v>#REF!</v>
      </c>
      <c r="J137" s="71" t="str">
        <f>_xlfn.IFNA(VLOOKUP(StaffPayroll[[#This Row],[Position / Title]],Lists!A:C,3,FALSE),"")</f>
        <v/>
      </c>
      <c r="K137" s="71">
        <f>StaffPayroll[[#This Row],[Payroll Period Ends Date (Minimum two months)]]-StaffPayroll[[#This Row],[Payroll Period Begins Date        (Must start after 6/1/2025)]]+1</f>
        <v>1</v>
      </c>
      <c r="L137" s="38">
        <f>IFERROR(IF(VLOOKUP(J137,'Facility Info Input'!$B$25:$D$34,3,FALSE)="",1,VLOOKUP(J137,'Facility Info Input'!$B$25:$D$34,3,FALSE)),0)</f>
        <v>0</v>
      </c>
      <c r="M137" s="22" t="str">
        <f>IF(StaffPayroll[[#This Row],[Employee ID Number / Code]]="","",IF(StaffPayroll[[#This Row],[Position / Title]]="","",VLOOKUP(StaffPayroll[[#This Row],[Position / Title]],Lists!A:C,2,FALSE)))</f>
        <v/>
      </c>
      <c r="N137" s="22">
        <f>IF(C137="",0,StaffPayroll[[#This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7" s="31">
        <f>IF(StaffPayroll[[#This Row],[Hourly WSB  Wage Minimum]]="",0,StaffPayroll[[#This Row],[Annual NF Wage Costs after WSB Minimum]]-StaffPayroll[[#This Row],[Annual NF Wage Costs before WSB Minimum]])</f>
        <v>0</v>
      </c>
      <c r="Q137" s="31">
        <f>IFERROR(IF(StaffPayroll[[#This Row],[Annual Cost of Wage Increase included in Rate Adjustment]]=0,0,P137*'Facility Info Input'!$F$10),0)</f>
        <v>0</v>
      </c>
      <c r="R137" s="32">
        <f>IFERROR(IF(StaffPayroll[[#This Row],[Annual Cost of Wage Increase included in Rate Adjustment]]=0,0,IF('Facility Info Input'!$F$11&lt;=0,0,P137*'Facility Info Input'!$F$11)),0)</f>
        <v>0</v>
      </c>
      <c r="S137" s="32">
        <f>IFERROR(IF(StaffPayroll[[#This Row],[Annual Cost of Wage Increase included in Rate Adjustment]]=0,0,IF('Facility Info Input'!$F$12&lt;=0,0,P137*'Facility Info Input'!$F$12)),0)</f>
        <v>0</v>
      </c>
      <c r="T137" s="32">
        <f t="shared" si="4"/>
        <v>0</v>
      </c>
      <c r="U137" s="33">
        <f t="shared" si="5"/>
        <v>0</v>
      </c>
    </row>
    <row r="138" spans="1:21">
      <c r="A138" s="76"/>
      <c r="B138" s="77"/>
      <c r="C138" s="81"/>
      <c r="D138" s="82"/>
      <c r="E138" s="82"/>
      <c r="F138" s="83"/>
      <c r="G138" s="84"/>
      <c r="H138" s="85"/>
      <c r="I138" s="71" t="e">
        <f>#REF!&amp;" "&amp;StaffPayroll[[#This Row],[Employee ID Number / Code]]</f>
        <v>#REF!</v>
      </c>
      <c r="J138" s="71" t="str">
        <f>_xlfn.IFNA(VLOOKUP(StaffPayroll[[#This Row],[Position / Title]],Lists!A:C,3,FALSE),"")</f>
        <v/>
      </c>
      <c r="K138" s="71">
        <f>StaffPayroll[[#This Row],[Payroll Period Ends Date (Minimum two months)]]-StaffPayroll[[#This Row],[Payroll Period Begins Date        (Must start after 6/1/2025)]]+1</f>
        <v>1</v>
      </c>
      <c r="L138" s="38">
        <f>IFERROR(IF(VLOOKUP(J138,'Facility Info Input'!$B$25:$D$34,3,FALSE)="",1,VLOOKUP(J138,'Facility Info Input'!$B$25:$D$34,3,FALSE)),0)</f>
        <v>0</v>
      </c>
      <c r="M138" s="22" t="str">
        <f>IF(StaffPayroll[[#This Row],[Employee ID Number / Code]]="","",IF(StaffPayroll[[#This Row],[Position / Title]]="","",VLOOKUP(StaffPayroll[[#This Row],[Position / Title]],Lists!A:C,2,FALSE)))</f>
        <v/>
      </c>
      <c r="N138" s="22">
        <f>IF(C138="",0,StaffPayroll[[#This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8" s="31">
        <f>IF(StaffPayroll[[#This Row],[Hourly WSB  Wage Minimum]]="",0,StaffPayroll[[#This Row],[Annual NF Wage Costs after WSB Minimum]]-StaffPayroll[[#This Row],[Annual NF Wage Costs before WSB Minimum]])</f>
        <v>0</v>
      </c>
      <c r="Q138" s="31">
        <f>IFERROR(IF(StaffPayroll[[#This Row],[Annual Cost of Wage Increase included in Rate Adjustment]]=0,0,P138*'Facility Info Input'!$F$10),0)</f>
        <v>0</v>
      </c>
      <c r="R138" s="32">
        <f>IFERROR(IF(StaffPayroll[[#This Row],[Annual Cost of Wage Increase included in Rate Adjustment]]=0,0,IF('Facility Info Input'!$F$11&lt;=0,0,P138*'Facility Info Input'!$F$11)),0)</f>
        <v>0</v>
      </c>
      <c r="S138" s="32">
        <f>IFERROR(IF(StaffPayroll[[#This Row],[Annual Cost of Wage Increase included in Rate Adjustment]]=0,0,IF('Facility Info Input'!$F$12&lt;=0,0,P138*'Facility Info Input'!$F$12)),0)</f>
        <v>0</v>
      </c>
      <c r="T138" s="32">
        <f t="shared" si="4"/>
        <v>0</v>
      </c>
      <c r="U138" s="33">
        <f t="shared" si="5"/>
        <v>0</v>
      </c>
    </row>
    <row r="139" spans="1:21">
      <c r="A139" s="76"/>
      <c r="B139" s="77"/>
      <c r="C139" s="81"/>
      <c r="D139" s="82"/>
      <c r="E139" s="82"/>
      <c r="F139" s="83"/>
      <c r="G139" s="84"/>
      <c r="H139" s="85"/>
      <c r="I139" s="71" t="e">
        <f>#REF!&amp;" "&amp;StaffPayroll[[#This Row],[Employee ID Number / Code]]</f>
        <v>#REF!</v>
      </c>
      <c r="J139" s="71" t="str">
        <f>_xlfn.IFNA(VLOOKUP(StaffPayroll[[#This Row],[Position / Title]],Lists!A:C,3,FALSE),"")</f>
        <v/>
      </c>
      <c r="K139" s="71">
        <f>StaffPayroll[[#This Row],[Payroll Period Ends Date (Minimum two months)]]-StaffPayroll[[#This Row],[Payroll Period Begins Date        (Must start after 6/1/2025)]]+1</f>
        <v>1</v>
      </c>
      <c r="L139" s="38">
        <f>IFERROR(IF(VLOOKUP(J139,'Facility Info Input'!$B$25:$D$34,3,FALSE)="",1,VLOOKUP(J139,'Facility Info Input'!$B$25:$D$34,3,FALSE)),0)</f>
        <v>0</v>
      </c>
      <c r="M139" s="22" t="str">
        <f>IF(StaffPayroll[[#This Row],[Employee ID Number / Code]]="","",IF(StaffPayroll[[#This Row],[Position / Title]]="","",VLOOKUP(StaffPayroll[[#This Row],[Position / Title]],Lists!A:C,2,FALSE)))</f>
        <v/>
      </c>
      <c r="N139" s="22">
        <f>IF(C139="",0,StaffPayroll[[#This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3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39" s="31">
        <f>IF(StaffPayroll[[#This Row],[Hourly WSB  Wage Minimum]]="",0,StaffPayroll[[#This Row],[Annual NF Wage Costs after WSB Minimum]]-StaffPayroll[[#This Row],[Annual NF Wage Costs before WSB Minimum]])</f>
        <v>0</v>
      </c>
      <c r="Q139" s="31">
        <f>IFERROR(IF(StaffPayroll[[#This Row],[Annual Cost of Wage Increase included in Rate Adjustment]]=0,0,P139*'Facility Info Input'!$F$10),0)</f>
        <v>0</v>
      </c>
      <c r="R139" s="32">
        <f>IFERROR(IF(StaffPayroll[[#This Row],[Annual Cost of Wage Increase included in Rate Adjustment]]=0,0,IF('Facility Info Input'!$F$11&lt;=0,0,P139*'Facility Info Input'!$F$11)),0)</f>
        <v>0</v>
      </c>
      <c r="S139" s="32">
        <f>IFERROR(IF(StaffPayroll[[#This Row],[Annual Cost of Wage Increase included in Rate Adjustment]]=0,0,IF('Facility Info Input'!$F$12&lt;=0,0,P139*'Facility Info Input'!$F$12)),0)</f>
        <v>0</v>
      </c>
      <c r="T139" s="32">
        <f t="shared" si="4"/>
        <v>0</v>
      </c>
      <c r="U139" s="33">
        <f t="shared" si="5"/>
        <v>0</v>
      </c>
    </row>
    <row r="140" spans="1:21">
      <c r="A140" s="76"/>
      <c r="B140" s="77"/>
      <c r="C140" s="81"/>
      <c r="D140" s="82"/>
      <c r="E140" s="82"/>
      <c r="F140" s="83"/>
      <c r="G140" s="84"/>
      <c r="H140" s="85"/>
      <c r="I140" s="71" t="e">
        <f>#REF!&amp;" "&amp;StaffPayroll[[#This Row],[Employee ID Number / Code]]</f>
        <v>#REF!</v>
      </c>
      <c r="J140" s="71" t="str">
        <f>_xlfn.IFNA(VLOOKUP(StaffPayroll[[#This Row],[Position / Title]],Lists!A:C,3,FALSE),"")</f>
        <v/>
      </c>
      <c r="K140" s="71">
        <f>StaffPayroll[[#This Row],[Payroll Period Ends Date (Minimum two months)]]-StaffPayroll[[#This Row],[Payroll Period Begins Date        (Must start after 6/1/2025)]]+1</f>
        <v>1</v>
      </c>
      <c r="L140" s="38">
        <f>IFERROR(IF(VLOOKUP(J140,'Facility Info Input'!$B$25:$D$34,3,FALSE)="",1,VLOOKUP(J140,'Facility Info Input'!$B$25:$D$34,3,FALSE)),0)</f>
        <v>0</v>
      </c>
      <c r="M140" s="22" t="str">
        <f>IF(StaffPayroll[[#This Row],[Employee ID Number / Code]]="","",IF(StaffPayroll[[#This Row],[Position / Title]]="","",VLOOKUP(StaffPayroll[[#This Row],[Position / Title]],Lists!A:C,2,FALSE)))</f>
        <v/>
      </c>
      <c r="N140" s="22">
        <f>IF(C140="",0,StaffPayroll[[#This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0" s="31">
        <f>IF(StaffPayroll[[#This Row],[Hourly WSB  Wage Minimum]]="",0,StaffPayroll[[#This Row],[Annual NF Wage Costs after WSB Minimum]]-StaffPayroll[[#This Row],[Annual NF Wage Costs before WSB Minimum]])</f>
        <v>0</v>
      </c>
      <c r="Q140" s="31">
        <f>IFERROR(IF(StaffPayroll[[#This Row],[Annual Cost of Wage Increase included in Rate Adjustment]]=0,0,P140*'Facility Info Input'!$F$10),0)</f>
        <v>0</v>
      </c>
      <c r="R140" s="32">
        <f>IFERROR(IF(StaffPayroll[[#This Row],[Annual Cost of Wage Increase included in Rate Adjustment]]=0,0,IF('Facility Info Input'!$F$11&lt;=0,0,P140*'Facility Info Input'!$F$11)),0)</f>
        <v>0</v>
      </c>
      <c r="S140" s="32">
        <f>IFERROR(IF(StaffPayroll[[#This Row],[Annual Cost of Wage Increase included in Rate Adjustment]]=0,0,IF('Facility Info Input'!$F$12&lt;=0,0,P140*'Facility Info Input'!$F$12)),0)</f>
        <v>0</v>
      </c>
      <c r="T140" s="32">
        <f t="shared" si="4"/>
        <v>0</v>
      </c>
      <c r="U140" s="33">
        <f t="shared" si="5"/>
        <v>0</v>
      </c>
    </row>
    <row r="141" spans="1:21">
      <c r="A141" s="76"/>
      <c r="B141" s="77"/>
      <c r="C141" s="81"/>
      <c r="D141" s="82"/>
      <c r="E141" s="82"/>
      <c r="F141" s="83"/>
      <c r="G141" s="84"/>
      <c r="H141" s="85"/>
      <c r="I141" s="71" t="e">
        <f>#REF!&amp;" "&amp;StaffPayroll[[#This Row],[Employee ID Number / Code]]</f>
        <v>#REF!</v>
      </c>
      <c r="J141" s="71" t="str">
        <f>_xlfn.IFNA(VLOOKUP(StaffPayroll[[#This Row],[Position / Title]],Lists!A:C,3,FALSE),"")</f>
        <v/>
      </c>
      <c r="K141" s="71">
        <f>StaffPayroll[[#This Row],[Payroll Period Ends Date (Minimum two months)]]-StaffPayroll[[#This Row],[Payroll Period Begins Date        (Must start after 6/1/2025)]]+1</f>
        <v>1</v>
      </c>
      <c r="L141" s="38">
        <f>IFERROR(IF(VLOOKUP(J141,'Facility Info Input'!$B$25:$D$34,3,FALSE)="",1,VLOOKUP(J141,'Facility Info Input'!$B$25:$D$34,3,FALSE)),0)</f>
        <v>0</v>
      </c>
      <c r="M141" s="22" t="str">
        <f>IF(StaffPayroll[[#This Row],[Employee ID Number / Code]]="","",IF(StaffPayroll[[#This Row],[Position / Title]]="","",VLOOKUP(StaffPayroll[[#This Row],[Position / Title]],Lists!A:C,2,FALSE)))</f>
        <v/>
      </c>
      <c r="N141" s="22">
        <f>IF(C141="",0,StaffPayroll[[#This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1" s="31">
        <f>IF(StaffPayroll[[#This Row],[Hourly WSB  Wage Minimum]]="",0,StaffPayroll[[#This Row],[Annual NF Wage Costs after WSB Minimum]]-StaffPayroll[[#This Row],[Annual NF Wage Costs before WSB Minimum]])</f>
        <v>0</v>
      </c>
      <c r="Q141" s="31">
        <f>IFERROR(IF(StaffPayroll[[#This Row],[Annual Cost of Wage Increase included in Rate Adjustment]]=0,0,P141*'Facility Info Input'!$F$10),0)</f>
        <v>0</v>
      </c>
      <c r="R141" s="32">
        <f>IFERROR(IF(StaffPayroll[[#This Row],[Annual Cost of Wage Increase included in Rate Adjustment]]=0,0,IF('Facility Info Input'!$F$11&lt;=0,0,P141*'Facility Info Input'!$F$11)),0)</f>
        <v>0</v>
      </c>
      <c r="S141" s="32">
        <f>IFERROR(IF(StaffPayroll[[#This Row],[Annual Cost of Wage Increase included in Rate Adjustment]]=0,0,IF('Facility Info Input'!$F$12&lt;=0,0,P141*'Facility Info Input'!$F$12)),0)</f>
        <v>0</v>
      </c>
      <c r="T141" s="32">
        <f t="shared" si="4"/>
        <v>0</v>
      </c>
      <c r="U141" s="33">
        <f t="shared" si="5"/>
        <v>0</v>
      </c>
    </row>
    <row r="142" spans="1:21">
      <c r="A142" s="76"/>
      <c r="B142" s="77"/>
      <c r="C142" s="81"/>
      <c r="D142" s="82"/>
      <c r="E142" s="82"/>
      <c r="F142" s="83"/>
      <c r="G142" s="84"/>
      <c r="H142" s="85"/>
      <c r="I142" s="71" t="e">
        <f>#REF!&amp;" "&amp;StaffPayroll[[#This Row],[Employee ID Number / Code]]</f>
        <v>#REF!</v>
      </c>
      <c r="J142" s="71" t="str">
        <f>_xlfn.IFNA(VLOOKUP(StaffPayroll[[#This Row],[Position / Title]],Lists!A:C,3,FALSE),"")</f>
        <v/>
      </c>
      <c r="K142" s="71">
        <f>StaffPayroll[[#This Row],[Payroll Period Ends Date (Minimum two months)]]-StaffPayroll[[#This Row],[Payroll Period Begins Date        (Must start after 6/1/2025)]]+1</f>
        <v>1</v>
      </c>
      <c r="L142" s="38">
        <f>IFERROR(IF(VLOOKUP(J142,'Facility Info Input'!$B$25:$D$34,3,FALSE)="",1,VLOOKUP(J142,'Facility Info Input'!$B$25:$D$34,3,FALSE)),0)</f>
        <v>0</v>
      </c>
      <c r="M142" s="22" t="str">
        <f>IF(StaffPayroll[[#This Row],[Employee ID Number / Code]]="","",IF(StaffPayroll[[#This Row],[Position / Title]]="","",VLOOKUP(StaffPayroll[[#This Row],[Position / Title]],Lists!A:C,2,FALSE)))</f>
        <v/>
      </c>
      <c r="N142" s="22">
        <f>IF(C142="",0,StaffPayroll[[#This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2" s="31">
        <f>IF(StaffPayroll[[#This Row],[Hourly WSB  Wage Minimum]]="",0,StaffPayroll[[#This Row],[Annual NF Wage Costs after WSB Minimum]]-StaffPayroll[[#This Row],[Annual NF Wage Costs before WSB Minimum]])</f>
        <v>0</v>
      </c>
      <c r="Q142" s="31">
        <f>IFERROR(IF(StaffPayroll[[#This Row],[Annual Cost of Wage Increase included in Rate Adjustment]]=0,0,P142*'Facility Info Input'!$F$10),0)</f>
        <v>0</v>
      </c>
      <c r="R142" s="32">
        <f>IFERROR(IF(StaffPayroll[[#This Row],[Annual Cost of Wage Increase included in Rate Adjustment]]=0,0,IF('Facility Info Input'!$F$11&lt;=0,0,P142*'Facility Info Input'!$F$11)),0)</f>
        <v>0</v>
      </c>
      <c r="S142" s="32">
        <f>IFERROR(IF(StaffPayroll[[#This Row],[Annual Cost of Wage Increase included in Rate Adjustment]]=0,0,IF('Facility Info Input'!$F$12&lt;=0,0,P142*'Facility Info Input'!$F$12)),0)</f>
        <v>0</v>
      </c>
      <c r="T142" s="32">
        <f t="shared" si="4"/>
        <v>0</v>
      </c>
      <c r="U142" s="33">
        <f t="shared" si="5"/>
        <v>0</v>
      </c>
    </row>
    <row r="143" spans="1:21">
      <c r="A143" s="76"/>
      <c r="B143" s="77"/>
      <c r="C143" s="81"/>
      <c r="D143" s="82"/>
      <c r="E143" s="82"/>
      <c r="F143" s="83"/>
      <c r="G143" s="84"/>
      <c r="H143" s="85"/>
      <c r="I143" s="71" t="e">
        <f>#REF!&amp;" "&amp;StaffPayroll[[#This Row],[Employee ID Number / Code]]</f>
        <v>#REF!</v>
      </c>
      <c r="J143" s="71" t="str">
        <f>_xlfn.IFNA(VLOOKUP(StaffPayroll[[#This Row],[Position / Title]],Lists!A:C,3,FALSE),"")</f>
        <v/>
      </c>
      <c r="K143" s="71">
        <f>StaffPayroll[[#This Row],[Payroll Period Ends Date (Minimum two months)]]-StaffPayroll[[#This Row],[Payroll Period Begins Date        (Must start after 6/1/2025)]]+1</f>
        <v>1</v>
      </c>
      <c r="L143" s="38">
        <f>IFERROR(IF(VLOOKUP(J143,'Facility Info Input'!$B$25:$D$34,3,FALSE)="",1,VLOOKUP(J143,'Facility Info Input'!$B$25:$D$34,3,FALSE)),0)</f>
        <v>0</v>
      </c>
      <c r="M143" s="22" t="str">
        <f>IF(StaffPayroll[[#This Row],[Employee ID Number / Code]]="","",IF(StaffPayroll[[#This Row],[Position / Title]]="","",VLOOKUP(StaffPayroll[[#This Row],[Position / Title]],Lists!A:C,2,FALSE)))</f>
        <v/>
      </c>
      <c r="N143" s="22">
        <f>IF(C143="",0,StaffPayroll[[#This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3" s="31">
        <f>IF(StaffPayroll[[#This Row],[Hourly WSB  Wage Minimum]]="",0,StaffPayroll[[#This Row],[Annual NF Wage Costs after WSB Minimum]]-StaffPayroll[[#This Row],[Annual NF Wage Costs before WSB Minimum]])</f>
        <v>0</v>
      </c>
      <c r="Q143" s="31">
        <f>IFERROR(IF(StaffPayroll[[#This Row],[Annual Cost of Wage Increase included in Rate Adjustment]]=0,0,P143*'Facility Info Input'!$F$10),0)</f>
        <v>0</v>
      </c>
      <c r="R143" s="32">
        <f>IFERROR(IF(StaffPayroll[[#This Row],[Annual Cost of Wage Increase included in Rate Adjustment]]=0,0,IF('Facility Info Input'!$F$11&lt;=0,0,P143*'Facility Info Input'!$F$11)),0)</f>
        <v>0</v>
      </c>
      <c r="S143" s="32">
        <f>IFERROR(IF(StaffPayroll[[#This Row],[Annual Cost of Wage Increase included in Rate Adjustment]]=0,0,IF('Facility Info Input'!$F$12&lt;=0,0,P143*'Facility Info Input'!$F$12)),0)</f>
        <v>0</v>
      </c>
      <c r="T143" s="32">
        <f t="shared" si="4"/>
        <v>0</v>
      </c>
      <c r="U143" s="33">
        <f t="shared" si="5"/>
        <v>0</v>
      </c>
    </row>
    <row r="144" spans="1:21">
      <c r="A144" s="76"/>
      <c r="B144" s="77"/>
      <c r="C144" s="81"/>
      <c r="D144" s="82"/>
      <c r="E144" s="82"/>
      <c r="F144" s="83"/>
      <c r="G144" s="84"/>
      <c r="H144" s="85"/>
      <c r="I144" s="71" t="e">
        <f>#REF!&amp;" "&amp;StaffPayroll[[#This Row],[Employee ID Number / Code]]</f>
        <v>#REF!</v>
      </c>
      <c r="J144" s="71" t="str">
        <f>_xlfn.IFNA(VLOOKUP(StaffPayroll[[#This Row],[Position / Title]],Lists!A:C,3,FALSE),"")</f>
        <v/>
      </c>
      <c r="K144" s="71">
        <f>StaffPayroll[[#This Row],[Payroll Period Ends Date (Minimum two months)]]-StaffPayroll[[#This Row],[Payroll Period Begins Date        (Must start after 6/1/2025)]]+1</f>
        <v>1</v>
      </c>
      <c r="L144" s="38">
        <f>IFERROR(IF(VLOOKUP(J144,'Facility Info Input'!$B$25:$D$34,3,FALSE)="",1,VLOOKUP(J144,'Facility Info Input'!$B$25:$D$34,3,FALSE)),0)</f>
        <v>0</v>
      </c>
      <c r="M144" s="22" t="str">
        <f>IF(StaffPayroll[[#This Row],[Employee ID Number / Code]]="","",IF(StaffPayroll[[#This Row],[Position / Title]]="","",VLOOKUP(StaffPayroll[[#This Row],[Position / Title]],Lists!A:C,2,FALSE)))</f>
        <v/>
      </c>
      <c r="N144" s="22">
        <f>IF(C144="",0,StaffPayroll[[#This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4" s="31">
        <f>IF(StaffPayroll[[#This Row],[Hourly WSB  Wage Minimum]]="",0,StaffPayroll[[#This Row],[Annual NF Wage Costs after WSB Minimum]]-StaffPayroll[[#This Row],[Annual NF Wage Costs before WSB Minimum]])</f>
        <v>0</v>
      </c>
      <c r="Q144" s="31">
        <f>IFERROR(IF(StaffPayroll[[#This Row],[Annual Cost of Wage Increase included in Rate Adjustment]]=0,0,P144*'Facility Info Input'!$F$10),0)</f>
        <v>0</v>
      </c>
      <c r="R144" s="32">
        <f>IFERROR(IF(StaffPayroll[[#This Row],[Annual Cost of Wage Increase included in Rate Adjustment]]=0,0,IF('Facility Info Input'!$F$11&lt;=0,0,P144*'Facility Info Input'!$F$11)),0)</f>
        <v>0</v>
      </c>
      <c r="S144" s="32">
        <f>IFERROR(IF(StaffPayroll[[#This Row],[Annual Cost of Wage Increase included in Rate Adjustment]]=0,0,IF('Facility Info Input'!$F$12&lt;=0,0,P144*'Facility Info Input'!$F$12)),0)</f>
        <v>0</v>
      </c>
      <c r="T144" s="32">
        <f t="shared" si="4"/>
        <v>0</v>
      </c>
      <c r="U144" s="33">
        <f t="shared" si="5"/>
        <v>0</v>
      </c>
    </row>
    <row r="145" spans="1:21">
      <c r="A145" s="76"/>
      <c r="B145" s="77"/>
      <c r="C145" s="81"/>
      <c r="D145" s="82"/>
      <c r="E145" s="82"/>
      <c r="F145" s="83"/>
      <c r="G145" s="84"/>
      <c r="H145" s="85"/>
      <c r="I145" s="71" t="e">
        <f>#REF!&amp;" "&amp;StaffPayroll[[#This Row],[Employee ID Number / Code]]</f>
        <v>#REF!</v>
      </c>
      <c r="J145" s="71" t="str">
        <f>_xlfn.IFNA(VLOOKUP(StaffPayroll[[#This Row],[Position / Title]],Lists!A:C,3,FALSE),"")</f>
        <v/>
      </c>
      <c r="K145" s="71">
        <f>StaffPayroll[[#This Row],[Payroll Period Ends Date (Minimum two months)]]-StaffPayroll[[#This Row],[Payroll Period Begins Date        (Must start after 6/1/2025)]]+1</f>
        <v>1</v>
      </c>
      <c r="L145" s="38">
        <f>IFERROR(IF(VLOOKUP(J145,'Facility Info Input'!$B$25:$D$34,3,FALSE)="",1,VLOOKUP(J145,'Facility Info Input'!$B$25:$D$34,3,FALSE)),0)</f>
        <v>0</v>
      </c>
      <c r="M145" s="22" t="str">
        <f>IF(StaffPayroll[[#This Row],[Employee ID Number / Code]]="","",IF(StaffPayroll[[#This Row],[Position / Title]]="","",VLOOKUP(StaffPayroll[[#This Row],[Position / Title]],Lists!A:C,2,FALSE)))</f>
        <v/>
      </c>
      <c r="N145" s="22">
        <f>IF(C145="",0,StaffPayroll[[#This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5" s="31">
        <f>IF(StaffPayroll[[#This Row],[Hourly WSB  Wage Minimum]]="",0,StaffPayroll[[#This Row],[Annual NF Wage Costs after WSB Minimum]]-StaffPayroll[[#This Row],[Annual NF Wage Costs before WSB Minimum]])</f>
        <v>0</v>
      </c>
      <c r="Q145" s="31">
        <f>IFERROR(IF(StaffPayroll[[#This Row],[Annual Cost of Wage Increase included in Rate Adjustment]]=0,0,P145*'Facility Info Input'!$F$10),0)</f>
        <v>0</v>
      </c>
      <c r="R145" s="32">
        <f>IFERROR(IF(StaffPayroll[[#This Row],[Annual Cost of Wage Increase included in Rate Adjustment]]=0,0,IF('Facility Info Input'!$F$11&lt;=0,0,P145*'Facility Info Input'!$F$11)),0)</f>
        <v>0</v>
      </c>
      <c r="S145" s="32">
        <f>IFERROR(IF(StaffPayroll[[#This Row],[Annual Cost of Wage Increase included in Rate Adjustment]]=0,0,IF('Facility Info Input'!$F$12&lt;=0,0,P145*'Facility Info Input'!$F$12)),0)</f>
        <v>0</v>
      </c>
      <c r="T145" s="32">
        <f t="shared" si="4"/>
        <v>0</v>
      </c>
      <c r="U145" s="33">
        <f t="shared" si="5"/>
        <v>0</v>
      </c>
    </row>
    <row r="146" spans="1:21">
      <c r="A146" s="76"/>
      <c r="B146" s="77"/>
      <c r="C146" s="81"/>
      <c r="D146" s="82"/>
      <c r="E146" s="82"/>
      <c r="F146" s="83"/>
      <c r="G146" s="84"/>
      <c r="H146" s="85"/>
      <c r="I146" s="71" t="e">
        <f>#REF!&amp;" "&amp;StaffPayroll[[#This Row],[Employee ID Number / Code]]</f>
        <v>#REF!</v>
      </c>
      <c r="J146" s="71" t="str">
        <f>_xlfn.IFNA(VLOOKUP(StaffPayroll[[#This Row],[Position / Title]],Lists!A:C,3,FALSE),"")</f>
        <v/>
      </c>
      <c r="K146" s="71">
        <f>StaffPayroll[[#This Row],[Payroll Period Ends Date (Minimum two months)]]-StaffPayroll[[#This Row],[Payroll Period Begins Date        (Must start after 6/1/2025)]]+1</f>
        <v>1</v>
      </c>
      <c r="L146" s="38">
        <f>IFERROR(IF(VLOOKUP(J146,'Facility Info Input'!$B$25:$D$34,3,FALSE)="",1,VLOOKUP(J146,'Facility Info Input'!$B$25:$D$34,3,FALSE)),0)</f>
        <v>0</v>
      </c>
      <c r="M146" s="22" t="str">
        <f>IF(StaffPayroll[[#This Row],[Employee ID Number / Code]]="","",IF(StaffPayroll[[#This Row],[Position / Title]]="","",VLOOKUP(StaffPayroll[[#This Row],[Position / Title]],Lists!A:C,2,FALSE)))</f>
        <v/>
      </c>
      <c r="N146" s="22">
        <f>IF(C146="",0,StaffPayroll[[#This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6" s="31">
        <f>IF(StaffPayroll[[#This Row],[Hourly WSB  Wage Minimum]]="",0,StaffPayroll[[#This Row],[Annual NF Wage Costs after WSB Minimum]]-StaffPayroll[[#This Row],[Annual NF Wage Costs before WSB Minimum]])</f>
        <v>0</v>
      </c>
      <c r="Q146" s="31">
        <f>IFERROR(IF(StaffPayroll[[#This Row],[Annual Cost of Wage Increase included in Rate Adjustment]]=0,0,P146*'Facility Info Input'!$F$10),0)</f>
        <v>0</v>
      </c>
      <c r="R146" s="32">
        <f>IFERROR(IF(StaffPayroll[[#This Row],[Annual Cost of Wage Increase included in Rate Adjustment]]=0,0,IF('Facility Info Input'!$F$11&lt;=0,0,P146*'Facility Info Input'!$F$11)),0)</f>
        <v>0</v>
      </c>
      <c r="S146" s="32">
        <f>IFERROR(IF(StaffPayroll[[#This Row],[Annual Cost of Wage Increase included in Rate Adjustment]]=0,0,IF('Facility Info Input'!$F$12&lt;=0,0,P146*'Facility Info Input'!$F$12)),0)</f>
        <v>0</v>
      </c>
      <c r="T146" s="32">
        <f t="shared" si="4"/>
        <v>0</v>
      </c>
      <c r="U146" s="33">
        <f t="shared" si="5"/>
        <v>0</v>
      </c>
    </row>
    <row r="147" spans="1:21">
      <c r="A147" s="76"/>
      <c r="B147" s="77"/>
      <c r="C147" s="81"/>
      <c r="D147" s="82"/>
      <c r="E147" s="82"/>
      <c r="F147" s="83"/>
      <c r="G147" s="84"/>
      <c r="H147" s="85"/>
      <c r="I147" s="71" t="e">
        <f>#REF!&amp;" "&amp;StaffPayroll[[#This Row],[Employee ID Number / Code]]</f>
        <v>#REF!</v>
      </c>
      <c r="J147" s="71" t="str">
        <f>_xlfn.IFNA(VLOOKUP(StaffPayroll[[#This Row],[Position / Title]],Lists!A:C,3,FALSE),"")</f>
        <v/>
      </c>
      <c r="K147" s="71">
        <f>StaffPayroll[[#This Row],[Payroll Period Ends Date (Minimum two months)]]-StaffPayroll[[#This Row],[Payroll Period Begins Date        (Must start after 6/1/2025)]]+1</f>
        <v>1</v>
      </c>
      <c r="L147" s="38">
        <f>IFERROR(IF(VLOOKUP(J147,'Facility Info Input'!$B$25:$D$34,3,FALSE)="",1,VLOOKUP(J147,'Facility Info Input'!$B$25:$D$34,3,FALSE)),0)</f>
        <v>0</v>
      </c>
      <c r="M147" s="22" t="str">
        <f>IF(StaffPayroll[[#This Row],[Employee ID Number / Code]]="","",IF(StaffPayroll[[#This Row],[Position / Title]]="","",VLOOKUP(StaffPayroll[[#This Row],[Position / Title]],Lists!A:C,2,FALSE)))</f>
        <v/>
      </c>
      <c r="N147" s="22">
        <f>IF(C147="",0,StaffPayroll[[#This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7" s="31">
        <f>IF(StaffPayroll[[#This Row],[Hourly WSB  Wage Minimum]]="",0,StaffPayroll[[#This Row],[Annual NF Wage Costs after WSB Minimum]]-StaffPayroll[[#This Row],[Annual NF Wage Costs before WSB Minimum]])</f>
        <v>0</v>
      </c>
      <c r="Q147" s="31">
        <f>IFERROR(IF(StaffPayroll[[#This Row],[Annual Cost of Wage Increase included in Rate Adjustment]]=0,0,P147*'Facility Info Input'!$F$10),0)</f>
        <v>0</v>
      </c>
      <c r="R147" s="32">
        <f>IFERROR(IF(StaffPayroll[[#This Row],[Annual Cost of Wage Increase included in Rate Adjustment]]=0,0,IF('Facility Info Input'!$F$11&lt;=0,0,P147*'Facility Info Input'!$F$11)),0)</f>
        <v>0</v>
      </c>
      <c r="S147" s="32">
        <f>IFERROR(IF(StaffPayroll[[#This Row],[Annual Cost of Wage Increase included in Rate Adjustment]]=0,0,IF('Facility Info Input'!$F$12&lt;=0,0,P147*'Facility Info Input'!$F$12)),0)</f>
        <v>0</v>
      </c>
      <c r="T147" s="32">
        <f t="shared" si="4"/>
        <v>0</v>
      </c>
      <c r="U147" s="33">
        <f t="shared" si="5"/>
        <v>0</v>
      </c>
    </row>
    <row r="148" spans="1:21">
      <c r="A148" s="76"/>
      <c r="B148" s="77"/>
      <c r="C148" s="81"/>
      <c r="D148" s="82"/>
      <c r="E148" s="82"/>
      <c r="F148" s="83"/>
      <c r="G148" s="84"/>
      <c r="H148" s="85"/>
      <c r="I148" s="71" t="e">
        <f>#REF!&amp;" "&amp;StaffPayroll[[#This Row],[Employee ID Number / Code]]</f>
        <v>#REF!</v>
      </c>
      <c r="J148" s="71" t="str">
        <f>_xlfn.IFNA(VLOOKUP(StaffPayroll[[#This Row],[Position / Title]],Lists!A:C,3,FALSE),"")</f>
        <v/>
      </c>
      <c r="K148" s="71">
        <f>StaffPayroll[[#This Row],[Payroll Period Ends Date (Minimum two months)]]-StaffPayroll[[#This Row],[Payroll Period Begins Date        (Must start after 6/1/2025)]]+1</f>
        <v>1</v>
      </c>
      <c r="L148" s="38">
        <f>IFERROR(IF(VLOOKUP(J148,'Facility Info Input'!$B$25:$D$34,3,FALSE)="",1,VLOOKUP(J148,'Facility Info Input'!$B$25:$D$34,3,FALSE)),0)</f>
        <v>0</v>
      </c>
      <c r="M148" s="22" t="str">
        <f>IF(StaffPayroll[[#This Row],[Employee ID Number / Code]]="","",IF(StaffPayroll[[#This Row],[Position / Title]]="","",VLOOKUP(StaffPayroll[[#This Row],[Position / Title]],Lists!A:C,2,FALSE)))</f>
        <v/>
      </c>
      <c r="N148" s="22">
        <f>IF(C148="",0,StaffPayroll[[#This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8" s="31">
        <f>IF(StaffPayroll[[#This Row],[Hourly WSB  Wage Minimum]]="",0,StaffPayroll[[#This Row],[Annual NF Wage Costs after WSB Minimum]]-StaffPayroll[[#This Row],[Annual NF Wage Costs before WSB Minimum]])</f>
        <v>0</v>
      </c>
      <c r="Q148" s="31">
        <f>IFERROR(IF(StaffPayroll[[#This Row],[Annual Cost of Wage Increase included in Rate Adjustment]]=0,0,P148*'Facility Info Input'!$F$10),0)</f>
        <v>0</v>
      </c>
      <c r="R148" s="32">
        <f>IFERROR(IF(StaffPayroll[[#This Row],[Annual Cost of Wage Increase included in Rate Adjustment]]=0,0,IF('Facility Info Input'!$F$11&lt;=0,0,P148*'Facility Info Input'!$F$11)),0)</f>
        <v>0</v>
      </c>
      <c r="S148" s="32">
        <f>IFERROR(IF(StaffPayroll[[#This Row],[Annual Cost of Wage Increase included in Rate Adjustment]]=0,0,IF('Facility Info Input'!$F$12&lt;=0,0,P148*'Facility Info Input'!$F$12)),0)</f>
        <v>0</v>
      </c>
      <c r="T148" s="32">
        <f t="shared" si="4"/>
        <v>0</v>
      </c>
      <c r="U148" s="33">
        <f t="shared" si="5"/>
        <v>0</v>
      </c>
    </row>
    <row r="149" spans="1:21">
      <c r="A149" s="76"/>
      <c r="B149" s="77"/>
      <c r="C149" s="81"/>
      <c r="D149" s="82"/>
      <c r="E149" s="82"/>
      <c r="F149" s="83"/>
      <c r="G149" s="84"/>
      <c r="H149" s="85"/>
      <c r="I149" s="71" t="e">
        <f>#REF!&amp;" "&amp;StaffPayroll[[#This Row],[Employee ID Number / Code]]</f>
        <v>#REF!</v>
      </c>
      <c r="J149" s="71" t="str">
        <f>_xlfn.IFNA(VLOOKUP(StaffPayroll[[#This Row],[Position / Title]],Lists!A:C,3,FALSE),"")</f>
        <v/>
      </c>
      <c r="K149" s="71">
        <f>StaffPayroll[[#This Row],[Payroll Period Ends Date (Minimum two months)]]-StaffPayroll[[#This Row],[Payroll Period Begins Date        (Must start after 6/1/2025)]]+1</f>
        <v>1</v>
      </c>
      <c r="L149" s="38">
        <f>IFERROR(IF(VLOOKUP(J149,'Facility Info Input'!$B$25:$D$34,3,FALSE)="",1,VLOOKUP(J149,'Facility Info Input'!$B$25:$D$34,3,FALSE)),0)</f>
        <v>0</v>
      </c>
      <c r="M149" s="22" t="str">
        <f>IF(StaffPayroll[[#This Row],[Employee ID Number / Code]]="","",IF(StaffPayroll[[#This Row],[Position / Title]]="","",VLOOKUP(StaffPayroll[[#This Row],[Position / Title]],Lists!A:C,2,FALSE)))</f>
        <v/>
      </c>
      <c r="N149" s="22">
        <f>IF(C149="",0,StaffPayroll[[#This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4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49" s="31">
        <f>IF(StaffPayroll[[#This Row],[Hourly WSB  Wage Minimum]]="",0,StaffPayroll[[#This Row],[Annual NF Wage Costs after WSB Minimum]]-StaffPayroll[[#This Row],[Annual NF Wage Costs before WSB Minimum]])</f>
        <v>0</v>
      </c>
      <c r="Q149" s="31">
        <f>IFERROR(IF(StaffPayroll[[#This Row],[Annual Cost of Wage Increase included in Rate Adjustment]]=0,0,P149*'Facility Info Input'!$F$10),0)</f>
        <v>0</v>
      </c>
      <c r="R149" s="32">
        <f>IFERROR(IF(StaffPayroll[[#This Row],[Annual Cost of Wage Increase included in Rate Adjustment]]=0,0,IF('Facility Info Input'!$F$11&lt;=0,0,P149*'Facility Info Input'!$F$11)),0)</f>
        <v>0</v>
      </c>
      <c r="S149" s="32">
        <f>IFERROR(IF(StaffPayroll[[#This Row],[Annual Cost of Wage Increase included in Rate Adjustment]]=0,0,IF('Facility Info Input'!$F$12&lt;=0,0,P149*'Facility Info Input'!$F$12)),0)</f>
        <v>0</v>
      </c>
      <c r="T149" s="32">
        <f t="shared" si="4"/>
        <v>0</v>
      </c>
      <c r="U149" s="33">
        <f t="shared" si="5"/>
        <v>0</v>
      </c>
    </row>
    <row r="150" spans="1:21">
      <c r="A150" s="76"/>
      <c r="B150" s="77"/>
      <c r="C150" s="81"/>
      <c r="D150" s="82"/>
      <c r="E150" s="82"/>
      <c r="F150" s="83"/>
      <c r="G150" s="84"/>
      <c r="H150" s="85"/>
      <c r="I150" s="71" t="e">
        <f>#REF!&amp;" "&amp;StaffPayroll[[#This Row],[Employee ID Number / Code]]</f>
        <v>#REF!</v>
      </c>
      <c r="J150" s="71" t="str">
        <f>_xlfn.IFNA(VLOOKUP(StaffPayroll[[#This Row],[Position / Title]],Lists!A:C,3,FALSE),"")</f>
        <v/>
      </c>
      <c r="K150" s="71">
        <f>StaffPayroll[[#This Row],[Payroll Period Ends Date (Minimum two months)]]-StaffPayroll[[#This Row],[Payroll Period Begins Date        (Must start after 6/1/2025)]]+1</f>
        <v>1</v>
      </c>
      <c r="L150" s="38">
        <f>IFERROR(IF(VLOOKUP(J150,'Facility Info Input'!$B$25:$D$34,3,FALSE)="",1,VLOOKUP(J150,'Facility Info Input'!$B$25:$D$34,3,FALSE)),0)</f>
        <v>0</v>
      </c>
      <c r="M150" s="22" t="str">
        <f>IF(StaffPayroll[[#This Row],[Employee ID Number / Code]]="","",IF(StaffPayroll[[#This Row],[Position / Title]]="","",VLOOKUP(StaffPayroll[[#This Row],[Position / Title]],Lists!A:C,2,FALSE)))</f>
        <v/>
      </c>
      <c r="N150" s="22">
        <f>IF(C150="",0,StaffPayroll[[#This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0" s="31">
        <f>IF(StaffPayroll[[#This Row],[Hourly WSB  Wage Minimum]]="",0,StaffPayroll[[#This Row],[Annual NF Wage Costs after WSB Minimum]]-StaffPayroll[[#This Row],[Annual NF Wage Costs before WSB Minimum]])</f>
        <v>0</v>
      </c>
      <c r="Q150" s="31">
        <f>IFERROR(IF(StaffPayroll[[#This Row],[Annual Cost of Wage Increase included in Rate Adjustment]]=0,0,P150*'Facility Info Input'!$F$10),0)</f>
        <v>0</v>
      </c>
      <c r="R150" s="32">
        <f>IFERROR(IF(StaffPayroll[[#This Row],[Annual Cost of Wage Increase included in Rate Adjustment]]=0,0,IF('Facility Info Input'!$F$11&lt;=0,0,P150*'Facility Info Input'!$F$11)),0)</f>
        <v>0</v>
      </c>
      <c r="S150" s="32">
        <f>IFERROR(IF(StaffPayroll[[#This Row],[Annual Cost of Wage Increase included in Rate Adjustment]]=0,0,IF('Facility Info Input'!$F$12&lt;=0,0,P150*'Facility Info Input'!$F$12)),0)</f>
        <v>0</v>
      </c>
      <c r="T150" s="32">
        <f t="shared" si="4"/>
        <v>0</v>
      </c>
      <c r="U150" s="33">
        <f t="shared" si="5"/>
        <v>0</v>
      </c>
    </row>
    <row r="151" spans="1:21">
      <c r="A151" s="76"/>
      <c r="B151" s="77"/>
      <c r="C151" s="81"/>
      <c r="D151" s="82"/>
      <c r="E151" s="82"/>
      <c r="F151" s="83"/>
      <c r="G151" s="84"/>
      <c r="H151" s="85"/>
      <c r="I151" s="71" t="e">
        <f>#REF!&amp;" "&amp;StaffPayroll[[#This Row],[Employee ID Number / Code]]</f>
        <v>#REF!</v>
      </c>
      <c r="J151" s="71" t="str">
        <f>_xlfn.IFNA(VLOOKUP(StaffPayroll[[#This Row],[Position / Title]],Lists!A:C,3,FALSE),"")</f>
        <v/>
      </c>
      <c r="K151" s="71">
        <f>StaffPayroll[[#This Row],[Payroll Period Ends Date (Minimum two months)]]-StaffPayroll[[#This Row],[Payroll Period Begins Date        (Must start after 6/1/2025)]]+1</f>
        <v>1</v>
      </c>
      <c r="L151" s="38">
        <f>IFERROR(IF(VLOOKUP(J151,'Facility Info Input'!$B$25:$D$34,3,FALSE)="",1,VLOOKUP(J151,'Facility Info Input'!$B$25:$D$34,3,FALSE)),0)</f>
        <v>0</v>
      </c>
      <c r="M151" s="22" t="str">
        <f>IF(StaffPayroll[[#This Row],[Employee ID Number / Code]]="","",IF(StaffPayroll[[#This Row],[Position / Title]]="","",VLOOKUP(StaffPayroll[[#This Row],[Position / Title]],Lists!A:C,2,FALSE)))</f>
        <v/>
      </c>
      <c r="N151" s="22">
        <f>IF(C151="",0,StaffPayroll[[#This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1" s="31">
        <f>IF(StaffPayroll[[#This Row],[Hourly WSB  Wage Minimum]]="",0,StaffPayroll[[#This Row],[Annual NF Wage Costs after WSB Minimum]]-StaffPayroll[[#This Row],[Annual NF Wage Costs before WSB Minimum]])</f>
        <v>0</v>
      </c>
      <c r="Q151" s="31">
        <f>IFERROR(IF(StaffPayroll[[#This Row],[Annual Cost of Wage Increase included in Rate Adjustment]]=0,0,P151*'Facility Info Input'!$F$10),0)</f>
        <v>0</v>
      </c>
      <c r="R151" s="32">
        <f>IFERROR(IF(StaffPayroll[[#This Row],[Annual Cost of Wage Increase included in Rate Adjustment]]=0,0,IF('Facility Info Input'!$F$11&lt;=0,0,P151*'Facility Info Input'!$F$11)),0)</f>
        <v>0</v>
      </c>
      <c r="S151" s="32">
        <f>IFERROR(IF(StaffPayroll[[#This Row],[Annual Cost of Wage Increase included in Rate Adjustment]]=0,0,IF('Facility Info Input'!$F$12&lt;=0,0,P151*'Facility Info Input'!$F$12)),0)</f>
        <v>0</v>
      </c>
      <c r="T151" s="32">
        <f t="shared" si="4"/>
        <v>0</v>
      </c>
      <c r="U151" s="33">
        <f t="shared" si="5"/>
        <v>0</v>
      </c>
    </row>
    <row r="152" spans="1:21">
      <c r="A152" s="76"/>
      <c r="B152" s="77"/>
      <c r="C152" s="81"/>
      <c r="D152" s="82"/>
      <c r="E152" s="82"/>
      <c r="F152" s="83"/>
      <c r="G152" s="84"/>
      <c r="H152" s="85"/>
      <c r="I152" s="71" t="e">
        <f>#REF!&amp;" "&amp;StaffPayroll[[#This Row],[Employee ID Number / Code]]</f>
        <v>#REF!</v>
      </c>
      <c r="J152" s="71" t="str">
        <f>_xlfn.IFNA(VLOOKUP(StaffPayroll[[#This Row],[Position / Title]],Lists!A:C,3,FALSE),"")</f>
        <v/>
      </c>
      <c r="K152" s="71">
        <f>StaffPayroll[[#This Row],[Payroll Period Ends Date (Minimum two months)]]-StaffPayroll[[#This Row],[Payroll Period Begins Date        (Must start after 6/1/2025)]]+1</f>
        <v>1</v>
      </c>
      <c r="L152" s="38">
        <f>IFERROR(IF(VLOOKUP(J152,'Facility Info Input'!$B$25:$D$34,3,FALSE)="",1,VLOOKUP(J152,'Facility Info Input'!$B$25:$D$34,3,FALSE)),0)</f>
        <v>0</v>
      </c>
      <c r="M152" s="22" t="str">
        <f>IF(StaffPayroll[[#This Row],[Employee ID Number / Code]]="","",IF(StaffPayroll[[#This Row],[Position / Title]]="","",VLOOKUP(StaffPayroll[[#This Row],[Position / Title]],Lists!A:C,2,FALSE)))</f>
        <v/>
      </c>
      <c r="N152" s="22">
        <f>IF(C152="",0,StaffPayroll[[#This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2" s="31">
        <f>IF(StaffPayroll[[#This Row],[Hourly WSB  Wage Minimum]]="",0,StaffPayroll[[#This Row],[Annual NF Wage Costs after WSB Minimum]]-StaffPayroll[[#This Row],[Annual NF Wage Costs before WSB Minimum]])</f>
        <v>0</v>
      </c>
      <c r="Q152" s="31">
        <f>IFERROR(IF(StaffPayroll[[#This Row],[Annual Cost of Wage Increase included in Rate Adjustment]]=0,0,P152*'Facility Info Input'!$F$10),0)</f>
        <v>0</v>
      </c>
      <c r="R152" s="32">
        <f>IFERROR(IF(StaffPayroll[[#This Row],[Annual Cost of Wage Increase included in Rate Adjustment]]=0,0,IF('Facility Info Input'!$F$11&lt;=0,0,P152*'Facility Info Input'!$F$11)),0)</f>
        <v>0</v>
      </c>
      <c r="S152" s="32">
        <f>IFERROR(IF(StaffPayroll[[#This Row],[Annual Cost of Wage Increase included in Rate Adjustment]]=0,0,IF('Facility Info Input'!$F$12&lt;=0,0,P152*'Facility Info Input'!$F$12)),0)</f>
        <v>0</v>
      </c>
      <c r="T152" s="32">
        <f t="shared" si="4"/>
        <v>0</v>
      </c>
      <c r="U152" s="33">
        <f t="shared" si="5"/>
        <v>0</v>
      </c>
    </row>
    <row r="153" spans="1:21">
      <c r="A153" s="76"/>
      <c r="B153" s="77"/>
      <c r="C153" s="81"/>
      <c r="D153" s="82"/>
      <c r="E153" s="82"/>
      <c r="F153" s="83"/>
      <c r="G153" s="84"/>
      <c r="H153" s="85"/>
      <c r="I153" s="71" t="e">
        <f>#REF!&amp;" "&amp;StaffPayroll[[#This Row],[Employee ID Number / Code]]</f>
        <v>#REF!</v>
      </c>
      <c r="J153" s="71" t="str">
        <f>_xlfn.IFNA(VLOOKUP(StaffPayroll[[#This Row],[Position / Title]],Lists!A:C,3,FALSE),"")</f>
        <v/>
      </c>
      <c r="K153" s="71">
        <f>StaffPayroll[[#This Row],[Payroll Period Ends Date (Minimum two months)]]-StaffPayroll[[#This Row],[Payroll Period Begins Date        (Must start after 6/1/2025)]]+1</f>
        <v>1</v>
      </c>
      <c r="L153" s="38">
        <f>IFERROR(IF(VLOOKUP(J153,'Facility Info Input'!$B$25:$D$34,3,FALSE)="",1,VLOOKUP(J153,'Facility Info Input'!$B$25:$D$34,3,FALSE)),0)</f>
        <v>0</v>
      </c>
      <c r="M153" s="22" t="str">
        <f>IF(StaffPayroll[[#This Row],[Employee ID Number / Code]]="","",IF(StaffPayroll[[#This Row],[Position / Title]]="","",VLOOKUP(StaffPayroll[[#This Row],[Position / Title]],Lists!A:C,2,FALSE)))</f>
        <v/>
      </c>
      <c r="N153" s="22">
        <f>IF(C153="",0,StaffPayroll[[#This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3" s="31">
        <f>IF(StaffPayroll[[#This Row],[Hourly WSB  Wage Minimum]]="",0,StaffPayroll[[#This Row],[Annual NF Wage Costs after WSB Minimum]]-StaffPayroll[[#This Row],[Annual NF Wage Costs before WSB Minimum]])</f>
        <v>0</v>
      </c>
      <c r="Q153" s="31">
        <f>IFERROR(IF(StaffPayroll[[#This Row],[Annual Cost of Wage Increase included in Rate Adjustment]]=0,0,P153*'Facility Info Input'!$F$10),0)</f>
        <v>0</v>
      </c>
      <c r="R153" s="32">
        <f>IFERROR(IF(StaffPayroll[[#This Row],[Annual Cost of Wage Increase included in Rate Adjustment]]=0,0,IF('Facility Info Input'!$F$11&lt;=0,0,P153*'Facility Info Input'!$F$11)),0)</f>
        <v>0</v>
      </c>
      <c r="S153" s="32">
        <f>IFERROR(IF(StaffPayroll[[#This Row],[Annual Cost of Wage Increase included in Rate Adjustment]]=0,0,IF('Facility Info Input'!$F$12&lt;=0,0,P153*'Facility Info Input'!$F$12)),0)</f>
        <v>0</v>
      </c>
      <c r="T153" s="32">
        <f t="shared" si="4"/>
        <v>0</v>
      </c>
      <c r="U153" s="33">
        <f t="shared" si="5"/>
        <v>0</v>
      </c>
    </row>
    <row r="154" spans="1:21">
      <c r="A154" s="76"/>
      <c r="B154" s="77"/>
      <c r="C154" s="81"/>
      <c r="D154" s="82"/>
      <c r="E154" s="82"/>
      <c r="F154" s="83"/>
      <c r="G154" s="84"/>
      <c r="H154" s="85"/>
      <c r="I154" s="71" t="e">
        <f>#REF!&amp;" "&amp;StaffPayroll[[#This Row],[Employee ID Number / Code]]</f>
        <v>#REF!</v>
      </c>
      <c r="J154" s="71" t="str">
        <f>_xlfn.IFNA(VLOOKUP(StaffPayroll[[#This Row],[Position / Title]],Lists!A:C,3,FALSE),"")</f>
        <v/>
      </c>
      <c r="K154" s="71">
        <f>StaffPayroll[[#This Row],[Payroll Period Ends Date (Minimum two months)]]-StaffPayroll[[#This Row],[Payroll Period Begins Date        (Must start after 6/1/2025)]]+1</f>
        <v>1</v>
      </c>
      <c r="L154" s="38">
        <f>IFERROR(IF(VLOOKUP(J154,'Facility Info Input'!$B$25:$D$34,3,FALSE)="",1,VLOOKUP(J154,'Facility Info Input'!$B$25:$D$34,3,FALSE)),0)</f>
        <v>0</v>
      </c>
      <c r="M154" s="22" t="str">
        <f>IF(StaffPayroll[[#This Row],[Employee ID Number / Code]]="","",IF(StaffPayroll[[#This Row],[Position / Title]]="","",VLOOKUP(StaffPayroll[[#This Row],[Position / Title]],Lists!A:C,2,FALSE)))</f>
        <v/>
      </c>
      <c r="N154" s="22">
        <f>IF(C154="",0,StaffPayroll[[#This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4" s="31">
        <f>IF(StaffPayroll[[#This Row],[Hourly WSB  Wage Minimum]]="",0,StaffPayroll[[#This Row],[Annual NF Wage Costs after WSB Minimum]]-StaffPayroll[[#This Row],[Annual NF Wage Costs before WSB Minimum]])</f>
        <v>0</v>
      </c>
      <c r="Q154" s="31">
        <f>IFERROR(IF(StaffPayroll[[#This Row],[Annual Cost of Wage Increase included in Rate Adjustment]]=0,0,P154*'Facility Info Input'!$F$10),0)</f>
        <v>0</v>
      </c>
      <c r="R154" s="32">
        <f>IFERROR(IF(StaffPayroll[[#This Row],[Annual Cost of Wage Increase included in Rate Adjustment]]=0,0,IF('Facility Info Input'!$F$11&lt;=0,0,P154*'Facility Info Input'!$F$11)),0)</f>
        <v>0</v>
      </c>
      <c r="S154" s="32">
        <f>IFERROR(IF(StaffPayroll[[#This Row],[Annual Cost of Wage Increase included in Rate Adjustment]]=0,0,IF('Facility Info Input'!$F$12&lt;=0,0,P154*'Facility Info Input'!$F$12)),0)</f>
        <v>0</v>
      </c>
      <c r="T154" s="32">
        <f t="shared" si="4"/>
        <v>0</v>
      </c>
      <c r="U154" s="33">
        <f t="shared" si="5"/>
        <v>0</v>
      </c>
    </row>
    <row r="155" spans="1:21">
      <c r="A155" s="76"/>
      <c r="B155" s="77"/>
      <c r="C155" s="81"/>
      <c r="D155" s="82"/>
      <c r="E155" s="82"/>
      <c r="F155" s="83"/>
      <c r="G155" s="84"/>
      <c r="H155" s="85"/>
      <c r="I155" s="71" t="e">
        <f>#REF!&amp;" "&amp;StaffPayroll[[#This Row],[Employee ID Number / Code]]</f>
        <v>#REF!</v>
      </c>
      <c r="J155" s="71" t="str">
        <f>_xlfn.IFNA(VLOOKUP(StaffPayroll[[#This Row],[Position / Title]],Lists!A:C,3,FALSE),"")</f>
        <v/>
      </c>
      <c r="K155" s="71">
        <f>StaffPayroll[[#This Row],[Payroll Period Ends Date (Minimum two months)]]-StaffPayroll[[#This Row],[Payroll Period Begins Date        (Must start after 6/1/2025)]]+1</f>
        <v>1</v>
      </c>
      <c r="L155" s="38">
        <f>IFERROR(IF(VLOOKUP(J155,'Facility Info Input'!$B$25:$D$34,3,FALSE)="",1,VLOOKUP(J155,'Facility Info Input'!$B$25:$D$34,3,FALSE)),0)</f>
        <v>0</v>
      </c>
      <c r="M155" s="22" t="str">
        <f>IF(StaffPayroll[[#This Row],[Employee ID Number / Code]]="","",IF(StaffPayroll[[#This Row],[Position / Title]]="","",VLOOKUP(StaffPayroll[[#This Row],[Position / Title]],Lists!A:C,2,FALSE)))</f>
        <v/>
      </c>
      <c r="N155" s="22">
        <f>IF(C155="",0,StaffPayroll[[#This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5" s="31">
        <f>IF(StaffPayroll[[#This Row],[Hourly WSB  Wage Minimum]]="",0,StaffPayroll[[#This Row],[Annual NF Wage Costs after WSB Minimum]]-StaffPayroll[[#This Row],[Annual NF Wage Costs before WSB Minimum]])</f>
        <v>0</v>
      </c>
      <c r="Q155" s="31">
        <f>IFERROR(IF(StaffPayroll[[#This Row],[Annual Cost of Wage Increase included in Rate Adjustment]]=0,0,P155*'Facility Info Input'!$F$10),0)</f>
        <v>0</v>
      </c>
      <c r="R155" s="32">
        <f>IFERROR(IF(StaffPayroll[[#This Row],[Annual Cost of Wage Increase included in Rate Adjustment]]=0,0,IF('Facility Info Input'!$F$11&lt;=0,0,P155*'Facility Info Input'!$F$11)),0)</f>
        <v>0</v>
      </c>
      <c r="S155" s="32">
        <f>IFERROR(IF(StaffPayroll[[#This Row],[Annual Cost of Wage Increase included in Rate Adjustment]]=0,0,IF('Facility Info Input'!$F$12&lt;=0,0,P155*'Facility Info Input'!$F$12)),0)</f>
        <v>0</v>
      </c>
      <c r="T155" s="32">
        <f t="shared" si="4"/>
        <v>0</v>
      </c>
      <c r="U155" s="33">
        <f t="shared" si="5"/>
        <v>0</v>
      </c>
    </row>
    <row r="156" spans="1:21">
      <c r="A156" s="76"/>
      <c r="B156" s="77"/>
      <c r="C156" s="81"/>
      <c r="D156" s="82"/>
      <c r="E156" s="82"/>
      <c r="F156" s="83"/>
      <c r="G156" s="84"/>
      <c r="H156" s="85"/>
      <c r="I156" s="71" t="e">
        <f>#REF!&amp;" "&amp;StaffPayroll[[#This Row],[Employee ID Number / Code]]</f>
        <v>#REF!</v>
      </c>
      <c r="J156" s="71" t="str">
        <f>_xlfn.IFNA(VLOOKUP(StaffPayroll[[#This Row],[Position / Title]],Lists!A:C,3,FALSE),"")</f>
        <v/>
      </c>
      <c r="K156" s="71">
        <f>StaffPayroll[[#This Row],[Payroll Period Ends Date (Minimum two months)]]-StaffPayroll[[#This Row],[Payroll Period Begins Date        (Must start after 6/1/2025)]]+1</f>
        <v>1</v>
      </c>
      <c r="L156" s="38">
        <f>IFERROR(IF(VLOOKUP(J156,'Facility Info Input'!$B$25:$D$34,3,FALSE)="",1,VLOOKUP(J156,'Facility Info Input'!$B$25:$D$34,3,FALSE)),0)</f>
        <v>0</v>
      </c>
      <c r="M156" s="22" t="str">
        <f>IF(StaffPayroll[[#This Row],[Employee ID Number / Code]]="","",IF(StaffPayroll[[#This Row],[Position / Title]]="","",VLOOKUP(StaffPayroll[[#This Row],[Position / Title]],Lists!A:C,2,FALSE)))</f>
        <v/>
      </c>
      <c r="N156" s="22">
        <f>IF(C156="",0,StaffPayroll[[#This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6" s="31">
        <f>IF(StaffPayroll[[#This Row],[Hourly WSB  Wage Minimum]]="",0,StaffPayroll[[#This Row],[Annual NF Wage Costs after WSB Minimum]]-StaffPayroll[[#This Row],[Annual NF Wage Costs before WSB Minimum]])</f>
        <v>0</v>
      </c>
      <c r="Q156" s="31">
        <f>IFERROR(IF(StaffPayroll[[#This Row],[Annual Cost of Wage Increase included in Rate Adjustment]]=0,0,P156*'Facility Info Input'!$F$10),0)</f>
        <v>0</v>
      </c>
      <c r="R156" s="32">
        <f>IFERROR(IF(StaffPayroll[[#This Row],[Annual Cost of Wage Increase included in Rate Adjustment]]=0,0,IF('Facility Info Input'!$F$11&lt;=0,0,P156*'Facility Info Input'!$F$11)),0)</f>
        <v>0</v>
      </c>
      <c r="S156" s="32">
        <f>IFERROR(IF(StaffPayroll[[#This Row],[Annual Cost of Wage Increase included in Rate Adjustment]]=0,0,IF('Facility Info Input'!$F$12&lt;=0,0,P156*'Facility Info Input'!$F$12)),0)</f>
        <v>0</v>
      </c>
      <c r="T156" s="32">
        <f t="shared" si="4"/>
        <v>0</v>
      </c>
      <c r="U156" s="33">
        <f t="shared" si="5"/>
        <v>0</v>
      </c>
    </row>
    <row r="157" spans="1:21">
      <c r="A157" s="76"/>
      <c r="B157" s="77"/>
      <c r="C157" s="81"/>
      <c r="D157" s="82"/>
      <c r="E157" s="82"/>
      <c r="F157" s="83"/>
      <c r="G157" s="84"/>
      <c r="H157" s="85"/>
      <c r="I157" s="71" t="e">
        <f>#REF!&amp;" "&amp;StaffPayroll[[#This Row],[Employee ID Number / Code]]</f>
        <v>#REF!</v>
      </c>
      <c r="J157" s="71" t="str">
        <f>_xlfn.IFNA(VLOOKUP(StaffPayroll[[#This Row],[Position / Title]],Lists!A:C,3,FALSE),"")</f>
        <v/>
      </c>
      <c r="K157" s="71">
        <f>StaffPayroll[[#This Row],[Payroll Period Ends Date (Minimum two months)]]-StaffPayroll[[#This Row],[Payroll Period Begins Date        (Must start after 6/1/2025)]]+1</f>
        <v>1</v>
      </c>
      <c r="L157" s="38">
        <f>IFERROR(IF(VLOOKUP(J157,'Facility Info Input'!$B$25:$D$34,3,FALSE)="",1,VLOOKUP(J157,'Facility Info Input'!$B$25:$D$34,3,FALSE)),0)</f>
        <v>0</v>
      </c>
      <c r="M157" s="22" t="str">
        <f>IF(StaffPayroll[[#This Row],[Employee ID Number / Code]]="","",IF(StaffPayroll[[#This Row],[Position / Title]]="","",VLOOKUP(StaffPayroll[[#This Row],[Position / Title]],Lists!A:C,2,FALSE)))</f>
        <v/>
      </c>
      <c r="N157" s="22">
        <f>IF(C157="",0,StaffPayroll[[#This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7" s="31">
        <f>IF(StaffPayroll[[#This Row],[Hourly WSB  Wage Minimum]]="",0,StaffPayroll[[#This Row],[Annual NF Wage Costs after WSB Minimum]]-StaffPayroll[[#This Row],[Annual NF Wage Costs before WSB Minimum]])</f>
        <v>0</v>
      </c>
      <c r="Q157" s="31">
        <f>IFERROR(IF(StaffPayroll[[#This Row],[Annual Cost of Wage Increase included in Rate Adjustment]]=0,0,P157*'Facility Info Input'!$F$10),0)</f>
        <v>0</v>
      </c>
      <c r="R157" s="32">
        <f>IFERROR(IF(StaffPayroll[[#This Row],[Annual Cost of Wage Increase included in Rate Adjustment]]=0,0,IF('Facility Info Input'!$F$11&lt;=0,0,P157*'Facility Info Input'!$F$11)),0)</f>
        <v>0</v>
      </c>
      <c r="S157" s="32">
        <f>IFERROR(IF(StaffPayroll[[#This Row],[Annual Cost of Wage Increase included in Rate Adjustment]]=0,0,IF('Facility Info Input'!$F$12&lt;=0,0,P157*'Facility Info Input'!$F$12)),0)</f>
        <v>0</v>
      </c>
      <c r="T157" s="32">
        <f t="shared" si="4"/>
        <v>0</v>
      </c>
      <c r="U157" s="33">
        <f t="shared" si="5"/>
        <v>0</v>
      </c>
    </row>
    <row r="158" spans="1:21">
      <c r="A158" s="76"/>
      <c r="B158" s="77"/>
      <c r="C158" s="81"/>
      <c r="D158" s="82"/>
      <c r="E158" s="82"/>
      <c r="F158" s="83"/>
      <c r="G158" s="84"/>
      <c r="H158" s="85"/>
      <c r="I158" s="71" t="e">
        <f>#REF!&amp;" "&amp;StaffPayroll[[#This Row],[Employee ID Number / Code]]</f>
        <v>#REF!</v>
      </c>
      <c r="J158" s="71" t="str">
        <f>_xlfn.IFNA(VLOOKUP(StaffPayroll[[#This Row],[Position / Title]],Lists!A:C,3,FALSE),"")</f>
        <v/>
      </c>
      <c r="K158" s="71">
        <f>StaffPayroll[[#This Row],[Payroll Period Ends Date (Minimum two months)]]-StaffPayroll[[#This Row],[Payroll Period Begins Date        (Must start after 6/1/2025)]]+1</f>
        <v>1</v>
      </c>
      <c r="L158" s="38">
        <f>IFERROR(IF(VLOOKUP(J158,'Facility Info Input'!$B$25:$D$34,3,FALSE)="",1,VLOOKUP(J158,'Facility Info Input'!$B$25:$D$34,3,FALSE)),0)</f>
        <v>0</v>
      </c>
      <c r="M158" s="22" t="str">
        <f>IF(StaffPayroll[[#This Row],[Employee ID Number / Code]]="","",IF(StaffPayroll[[#This Row],[Position / Title]]="","",VLOOKUP(StaffPayroll[[#This Row],[Position / Title]],Lists!A:C,2,FALSE)))</f>
        <v/>
      </c>
      <c r="N158" s="22">
        <f>IF(C158="",0,StaffPayroll[[#This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8" s="31">
        <f>IF(StaffPayroll[[#This Row],[Hourly WSB  Wage Minimum]]="",0,StaffPayroll[[#This Row],[Annual NF Wage Costs after WSB Minimum]]-StaffPayroll[[#This Row],[Annual NF Wage Costs before WSB Minimum]])</f>
        <v>0</v>
      </c>
      <c r="Q158" s="31">
        <f>IFERROR(IF(StaffPayroll[[#This Row],[Annual Cost of Wage Increase included in Rate Adjustment]]=0,0,P158*'Facility Info Input'!$F$10),0)</f>
        <v>0</v>
      </c>
      <c r="R158" s="32">
        <f>IFERROR(IF(StaffPayroll[[#This Row],[Annual Cost of Wage Increase included in Rate Adjustment]]=0,0,IF('Facility Info Input'!$F$11&lt;=0,0,P158*'Facility Info Input'!$F$11)),0)</f>
        <v>0</v>
      </c>
      <c r="S158" s="32">
        <f>IFERROR(IF(StaffPayroll[[#This Row],[Annual Cost of Wage Increase included in Rate Adjustment]]=0,0,IF('Facility Info Input'!$F$12&lt;=0,0,P158*'Facility Info Input'!$F$12)),0)</f>
        <v>0</v>
      </c>
      <c r="T158" s="32">
        <f t="shared" si="4"/>
        <v>0</v>
      </c>
      <c r="U158" s="33">
        <f t="shared" si="5"/>
        <v>0</v>
      </c>
    </row>
    <row r="159" spans="1:21">
      <c r="A159" s="76"/>
      <c r="B159" s="77"/>
      <c r="C159" s="81"/>
      <c r="D159" s="82"/>
      <c r="E159" s="82"/>
      <c r="F159" s="83"/>
      <c r="G159" s="84"/>
      <c r="H159" s="85"/>
      <c r="I159" s="71" t="e">
        <f>#REF!&amp;" "&amp;StaffPayroll[[#This Row],[Employee ID Number / Code]]</f>
        <v>#REF!</v>
      </c>
      <c r="J159" s="71" t="str">
        <f>_xlfn.IFNA(VLOOKUP(StaffPayroll[[#This Row],[Position / Title]],Lists!A:C,3,FALSE),"")</f>
        <v/>
      </c>
      <c r="K159" s="71">
        <f>StaffPayroll[[#This Row],[Payroll Period Ends Date (Minimum two months)]]-StaffPayroll[[#This Row],[Payroll Period Begins Date        (Must start after 6/1/2025)]]+1</f>
        <v>1</v>
      </c>
      <c r="L159" s="38">
        <f>IFERROR(IF(VLOOKUP(J159,'Facility Info Input'!$B$25:$D$34,3,FALSE)="",1,VLOOKUP(J159,'Facility Info Input'!$B$25:$D$34,3,FALSE)),0)</f>
        <v>0</v>
      </c>
      <c r="M159" s="22" t="str">
        <f>IF(StaffPayroll[[#This Row],[Employee ID Number / Code]]="","",IF(StaffPayroll[[#This Row],[Position / Title]]="","",VLOOKUP(StaffPayroll[[#This Row],[Position / Title]],Lists!A:C,2,FALSE)))</f>
        <v/>
      </c>
      <c r="N159" s="22">
        <f>IF(C159="",0,StaffPayroll[[#This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5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59" s="31">
        <f>IF(StaffPayroll[[#This Row],[Hourly WSB  Wage Minimum]]="",0,StaffPayroll[[#This Row],[Annual NF Wage Costs after WSB Minimum]]-StaffPayroll[[#This Row],[Annual NF Wage Costs before WSB Minimum]])</f>
        <v>0</v>
      </c>
      <c r="Q159" s="31">
        <f>IFERROR(IF(StaffPayroll[[#This Row],[Annual Cost of Wage Increase included in Rate Adjustment]]=0,0,P159*'Facility Info Input'!$F$10),0)</f>
        <v>0</v>
      </c>
      <c r="R159" s="32">
        <f>IFERROR(IF(StaffPayroll[[#This Row],[Annual Cost of Wage Increase included in Rate Adjustment]]=0,0,IF('Facility Info Input'!$F$11&lt;=0,0,P159*'Facility Info Input'!$F$11)),0)</f>
        <v>0</v>
      </c>
      <c r="S159" s="32">
        <f>IFERROR(IF(StaffPayroll[[#This Row],[Annual Cost of Wage Increase included in Rate Adjustment]]=0,0,IF('Facility Info Input'!$F$12&lt;=0,0,P159*'Facility Info Input'!$F$12)),0)</f>
        <v>0</v>
      </c>
      <c r="T159" s="32">
        <f t="shared" si="4"/>
        <v>0</v>
      </c>
      <c r="U159" s="33">
        <f t="shared" si="5"/>
        <v>0</v>
      </c>
    </row>
    <row r="160" spans="1:21">
      <c r="A160" s="76"/>
      <c r="B160" s="77"/>
      <c r="C160" s="81"/>
      <c r="D160" s="82"/>
      <c r="E160" s="82"/>
      <c r="F160" s="83"/>
      <c r="G160" s="84"/>
      <c r="H160" s="85"/>
      <c r="I160" s="71" t="e">
        <f>#REF!&amp;" "&amp;StaffPayroll[[#This Row],[Employee ID Number / Code]]</f>
        <v>#REF!</v>
      </c>
      <c r="J160" s="71" t="str">
        <f>_xlfn.IFNA(VLOOKUP(StaffPayroll[[#This Row],[Position / Title]],Lists!A:C,3,FALSE),"")</f>
        <v/>
      </c>
      <c r="K160" s="71">
        <f>StaffPayroll[[#This Row],[Payroll Period Ends Date (Minimum two months)]]-StaffPayroll[[#This Row],[Payroll Period Begins Date        (Must start after 6/1/2025)]]+1</f>
        <v>1</v>
      </c>
      <c r="L160" s="38">
        <f>IFERROR(IF(VLOOKUP(J160,'Facility Info Input'!$B$25:$D$34,3,FALSE)="",1,VLOOKUP(J160,'Facility Info Input'!$B$25:$D$34,3,FALSE)),0)</f>
        <v>0</v>
      </c>
      <c r="M160" s="22" t="str">
        <f>IF(StaffPayroll[[#This Row],[Employee ID Number / Code]]="","",IF(StaffPayroll[[#This Row],[Position / Title]]="","",VLOOKUP(StaffPayroll[[#This Row],[Position / Title]],Lists!A:C,2,FALSE)))</f>
        <v/>
      </c>
      <c r="N160" s="22">
        <f>IF(C160="",0,StaffPayroll[[#This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0" s="31">
        <f>IF(StaffPayroll[[#This Row],[Hourly WSB  Wage Minimum]]="",0,StaffPayroll[[#This Row],[Annual NF Wage Costs after WSB Minimum]]-StaffPayroll[[#This Row],[Annual NF Wage Costs before WSB Minimum]])</f>
        <v>0</v>
      </c>
      <c r="Q160" s="31">
        <f>IFERROR(IF(StaffPayroll[[#This Row],[Annual Cost of Wage Increase included in Rate Adjustment]]=0,0,P160*'Facility Info Input'!$F$10),0)</f>
        <v>0</v>
      </c>
      <c r="R160" s="32">
        <f>IFERROR(IF(StaffPayroll[[#This Row],[Annual Cost of Wage Increase included in Rate Adjustment]]=0,0,IF('Facility Info Input'!$F$11&lt;=0,0,P160*'Facility Info Input'!$F$11)),0)</f>
        <v>0</v>
      </c>
      <c r="S160" s="32">
        <f>IFERROR(IF(StaffPayroll[[#This Row],[Annual Cost of Wage Increase included in Rate Adjustment]]=0,0,IF('Facility Info Input'!$F$12&lt;=0,0,P160*'Facility Info Input'!$F$12)),0)</f>
        <v>0</v>
      </c>
      <c r="T160" s="32">
        <f t="shared" si="4"/>
        <v>0</v>
      </c>
      <c r="U160" s="33">
        <f t="shared" si="5"/>
        <v>0</v>
      </c>
    </row>
    <row r="161" spans="1:21">
      <c r="A161" s="76"/>
      <c r="B161" s="77"/>
      <c r="C161" s="81"/>
      <c r="D161" s="82"/>
      <c r="E161" s="82"/>
      <c r="F161" s="83"/>
      <c r="G161" s="84"/>
      <c r="H161" s="85"/>
      <c r="I161" s="71" t="e">
        <f>#REF!&amp;" "&amp;StaffPayroll[[#This Row],[Employee ID Number / Code]]</f>
        <v>#REF!</v>
      </c>
      <c r="J161" s="71" t="str">
        <f>_xlfn.IFNA(VLOOKUP(StaffPayroll[[#This Row],[Position / Title]],Lists!A:C,3,FALSE),"")</f>
        <v/>
      </c>
      <c r="K161" s="71">
        <f>StaffPayroll[[#This Row],[Payroll Period Ends Date (Minimum two months)]]-StaffPayroll[[#This Row],[Payroll Period Begins Date        (Must start after 6/1/2025)]]+1</f>
        <v>1</v>
      </c>
      <c r="L161" s="38">
        <f>IFERROR(IF(VLOOKUP(J161,'Facility Info Input'!$B$25:$D$34,3,FALSE)="",1,VLOOKUP(J161,'Facility Info Input'!$B$25:$D$34,3,FALSE)),0)</f>
        <v>0</v>
      </c>
      <c r="M161" s="22" t="str">
        <f>IF(StaffPayroll[[#This Row],[Employee ID Number / Code]]="","",IF(StaffPayroll[[#This Row],[Position / Title]]="","",VLOOKUP(StaffPayroll[[#This Row],[Position / Title]],Lists!A:C,2,FALSE)))</f>
        <v/>
      </c>
      <c r="N161" s="22">
        <f>IF(C161="",0,StaffPayroll[[#This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1" s="31">
        <f>IF(StaffPayroll[[#This Row],[Hourly WSB  Wage Minimum]]="",0,StaffPayroll[[#This Row],[Annual NF Wage Costs after WSB Minimum]]-StaffPayroll[[#This Row],[Annual NF Wage Costs before WSB Minimum]])</f>
        <v>0</v>
      </c>
      <c r="Q161" s="31">
        <f>IFERROR(IF(StaffPayroll[[#This Row],[Annual Cost of Wage Increase included in Rate Adjustment]]=0,0,P161*'Facility Info Input'!$F$10),0)</f>
        <v>0</v>
      </c>
      <c r="R161" s="32">
        <f>IFERROR(IF(StaffPayroll[[#This Row],[Annual Cost of Wage Increase included in Rate Adjustment]]=0,0,IF('Facility Info Input'!$F$11&lt;=0,0,P161*'Facility Info Input'!$F$11)),0)</f>
        <v>0</v>
      </c>
      <c r="S161" s="32">
        <f>IFERROR(IF(StaffPayroll[[#This Row],[Annual Cost of Wage Increase included in Rate Adjustment]]=0,0,IF('Facility Info Input'!$F$12&lt;=0,0,P161*'Facility Info Input'!$F$12)),0)</f>
        <v>0</v>
      </c>
      <c r="T161" s="32">
        <f t="shared" si="4"/>
        <v>0</v>
      </c>
      <c r="U161" s="33">
        <f t="shared" si="5"/>
        <v>0</v>
      </c>
    </row>
    <row r="162" spans="1:21">
      <c r="A162" s="76"/>
      <c r="B162" s="77"/>
      <c r="C162" s="81"/>
      <c r="D162" s="82"/>
      <c r="E162" s="82"/>
      <c r="F162" s="83"/>
      <c r="G162" s="84"/>
      <c r="H162" s="85"/>
      <c r="I162" s="71" t="e">
        <f>#REF!&amp;" "&amp;StaffPayroll[[#This Row],[Employee ID Number / Code]]</f>
        <v>#REF!</v>
      </c>
      <c r="J162" s="71" t="str">
        <f>_xlfn.IFNA(VLOOKUP(StaffPayroll[[#This Row],[Position / Title]],Lists!A:C,3,FALSE),"")</f>
        <v/>
      </c>
      <c r="K162" s="71">
        <f>StaffPayroll[[#This Row],[Payroll Period Ends Date (Minimum two months)]]-StaffPayroll[[#This Row],[Payroll Period Begins Date        (Must start after 6/1/2025)]]+1</f>
        <v>1</v>
      </c>
      <c r="L162" s="38">
        <f>IFERROR(IF(VLOOKUP(J162,'Facility Info Input'!$B$25:$D$34,3,FALSE)="",1,VLOOKUP(J162,'Facility Info Input'!$B$25:$D$34,3,FALSE)),0)</f>
        <v>0</v>
      </c>
      <c r="M162" s="22" t="str">
        <f>IF(StaffPayroll[[#This Row],[Employee ID Number / Code]]="","",IF(StaffPayroll[[#This Row],[Position / Title]]="","",VLOOKUP(StaffPayroll[[#This Row],[Position / Title]],Lists!A:C,2,FALSE)))</f>
        <v/>
      </c>
      <c r="N162" s="22">
        <f>IF(C162="",0,StaffPayroll[[#This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2" s="31">
        <f>IF(StaffPayroll[[#This Row],[Hourly WSB  Wage Minimum]]="",0,StaffPayroll[[#This Row],[Annual NF Wage Costs after WSB Minimum]]-StaffPayroll[[#This Row],[Annual NF Wage Costs before WSB Minimum]])</f>
        <v>0</v>
      </c>
      <c r="Q162" s="31">
        <f>IFERROR(IF(StaffPayroll[[#This Row],[Annual Cost of Wage Increase included in Rate Adjustment]]=0,0,P162*'Facility Info Input'!$F$10),0)</f>
        <v>0</v>
      </c>
      <c r="R162" s="32">
        <f>IFERROR(IF(StaffPayroll[[#This Row],[Annual Cost of Wage Increase included in Rate Adjustment]]=0,0,IF('Facility Info Input'!$F$11&lt;=0,0,P162*'Facility Info Input'!$F$11)),0)</f>
        <v>0</v>
      </c>
      <c r="S162" s="32">
        <f>IFERROR(IF(StaffPayroll[[#This Row],[Annual Cost of Wage Increase included in Rate Adjustment]]=0,0,IF('Facility Info Input'!$F$12&lt;=0,0,P162*'Facility Info Input'!$F$12)),0)</f>
        <v>0</v>
      </c>
      <c r="T162" s="32">
        <f t="shared" si="4"/>
        <v>0</v>
      </c>
      <c r="U162" s="33">
        <f t="shared" si="5"/>
        <v>0</v>
      </c>
    </row>
    <row r="163" spans="1:21">
      <c r="A163" s="76"/>
      <c r="B163" s="77"/>
      <c r="C163" s="81"/>
      <c r="D163" s="82"/>
      <c r="E163" s="82"/>
      <c r="F163" s="83"/>
      <c r="G163" s="84"/>
      <c r="H163" s="85"/>
      <c r="I163" s="71" t="e">
        <f>#REF!&amp;" "&amp;StaffPayroll[[#This Row],[Employee ID Number / Code]]</f>
        <v>#REF!</v>
      </c>
      <c r="J163" s="71" t="str">
        <f>_xlfn.IFNA(VLOOKUP(StaffPayroll[[#This Row],[Position / Title]],Lists!A:C,3,FALSE),"")</f>
        <v/>
      </c>
      <c r="K163" s="71">
        <f>StaffPayroll[[#This Row],[Payroll Period Ends Date (Minimum two months)]]-StaffPayroll[[#This Row],[Payroll Period Begins Date        (Must start after 6/1/2025)]]+1</f>
        <v>1</v>
      </c>
      <c r="L163" s="38">
        <f>IFERROR(IF(VLOOKUP(J163,'Facility Info Input'!$B$25:$D$34,3,FALSE)="",1,VLOOKUP(J163,'Facility Info Input'!$B$25:$D$34,3,FALSE)),0)</f>
        <v>0</v>
      </c>
      <c r="M163" s="22" t="str">
        <f>IF(StaffPayroll[[#This Row],[Employee ID Number / Code]]="","",IF(StaffPayroll[[#This Row],[Position / Title]]="","",VLOOKUP(StaffPayroll[[#This Row],[Position / Title]],Lists!A:C,2,FALSE)))</f>
        <v/>
      </c>
      <c r="N163" s="22">
        <f>IF(C163="",0,StaffPayroll[[#This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3" s="31">
        <f>IF(StaffPayroll[[#This Row],[Hourly WSB  Wage Minimum]]="",0,StaffPayroll[[#This Row],[Annual NF Wage Costs after WSB Minimum]]-StaffPayroll[[#This Row],[Annual NF Wage Costs before WSB Minimum]])</f>
        <v>0</v>
      </c>
      <c r="Q163" s="31">
        <f>IFERROR(IF(StaffPayroll[[#This Row],[Annual Cost of Wage Increase included in Rate Adjustment]]=0,0,P163*'Facility Info Input'!$F$10),0)</f>
        <v>0</v>
      </c>
      <c r="R163" s="32">
        <f>IFERROR(IF(StaffPayroll[[#This Row],[Annual Cost of Wage Increase included in Rate Adjustment]]=0,0,IF('Facility Info Input'!$F$11&lt;=0,0,P163*'Facility Info Input'!$F$11)),0)</f>
        <v>0</v>
      </c>
      <c r="S163" s="32">
        <f>IFERROR(IF(StaffPayroll[[#This Row],[Annual Cost of Wage Increase included in Rate Adjustment]]=0,0,IF('Facility Info Input'!$F$12&lt;=0,0,P163*'Facility Info Input'!$F$12)),0)</f>
        <v>0</v>
      </c>
      <c r="T163" s="32">
        <f t="shared" si="4"/>
        <v>0</v>
      </c>
      <c r="U163" s="33">
        <f t="shared" si="5"/>
        <v>0</v>
      </c>
    </row>
    <row r="164" spans="1:21">
      <c r="A164" s="76"/>
      <c r="B164" s="77"/>
      <c r="C164" s="81"/>
      <c r="D164" s="82"/>
      <c r="E164" s="82"/>
      <c r="F164" s="83"/>
      <c r="G164" s="84"/>
      <c r="H164" s="85"/>
      <c r="I164" s="71" t="e">
        <f>#REF!&amp;" "&amp;StaffPayroll[[#This Row],[Employee ID Number / Code]]</f>
        <v>#REF!</v>
      </c>
      <c r="J164" s="71" t="str">
        <f>_xlfn.IFNA(VLOOKUP(StaffPayroll[[#This Row],[Position / Title]],Lists!A:C,3,FALSE),"")</f>
        <v/>
      </c>
      <c r="K164" s="71">
        <f>StaffPayroll[[#This Row],[Payroll Period Ends Date (Minimum two months)]]-StaffPayroll[[#This Row],[Payroll Period Begins Date        (Must start after 6/1/2025)]]+1</f>
        <v>1</v>
      </c>
      <c r="L164" s="38">
        <f>IFERROR(IF(VLOOKUP(J164,'Facility Info Input'!$B$25:$D$34,3,FALSE)="",1,VLOOKUP(J164,'Facility Info Input'!$B$25:$D$34,3,FALSE)),0)</f>
        <v>0</v>
      </c>
      <c r="M164" s="22" t="str">
        <f>IF(StaffPayroll[[#This Row],[Employee ID Number / Code]]="","",IF(StaffPayroll[[#This Row],[Position / Title]]="","",VLOOKUP(StaffPayroll[[#This Row],[Position / Title]],Lists!A:C,2,FALSE)))</f>
        <v/>
      </c>
      <c r="N164" s="22">
        <f>IF(C164="",0,StaffPayroll[[#This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4" s="31">
        <f>IF(StaffPayroll[[#This Row],[Hourly WSB  Wage Minimum]]="",0,StaffPayroll[[#This Row],[Annual NF Wage Costs after WSB Minimum]]-StaffPayroll[[#This Row],[Annual NF Wage Costs before WSB Minimum]])</f>
        <v>0</v>
      </c>
      <c r="Q164" s="31">
        <f>IFERROR(IF(StaffPayroll[[#This Row],[Annual Cost of Wage Increase included in Rate Adjustment]]=0,0,P164*'Facility Info Input'!$F$10),0)</f>
        <v>0</v>
      </c>
      <c r="R164" s="32">
        <f>IFERROR(IF(StaffPayroll[[#This Row],[Annual Cost of Wage Increase included in Rate Adjustment]]=0,0,IF('Facility Info Input'!$F$11&lt;=0,0,P164*'Facility Info Input'!$F$11)),0)</f>
        <v>0</v>
      </c>
      <c r="S164" s="32">
        <f>IFERROR(IF(StaffPayroll[[#This Row],[Annual Cost of Wage Increase included in Rate Adjustment]]=0,0,IF('Facility Info Input'!$F$12&lt;=0,0,P164*'Facility Info Input'!$F$12)),0)</f>
        <v>0</v>
      </c>
      <c r="T164" s="32">
        <f t="shared" si="4"/>
        <v>0</v>
      </c>
      <c r="U164" s="33">
        <f t="shared" si="5"/>
        <v>0</v>
      </c>
    </row>
    <row r="165" spans="1:21">
      <c r="A165" s="76"/>
      <c r="B165" s="77"/>
      <c r="C165" s="81"/>
      <c r="D165" s="82"/>
      <c r="E165" s="82"/>
      <c r="F165" s="83"/>
      <c r="G165" s="84"/>
      <c r="H165" s="85"/>
      <c r="I165" s="71" t="e">
        <f>#REF!&amp;" "&amp;StaffPayroll[[#This Row],[Employee ID Number / Code]]</f>
        <v>#REF!</v>
      </c>
      <c r="J165" s="71" t="str">
        <f>_xlfn.IFNA(VLOOKUP(StaffPayroll[[#This Row],[Position / Title]],Lists!A:C,3,FALSE),"")</f>
        <v/>
      </c>
      <c r="K165" s="71">
        <f>StaffPayroll[[#This Row],[Payroll Period Ends Date (Minimum two months)]]-StaffPayroll[[#This Row],[Payroll Period Begins Date        (Must start after 6/1/2025)]]+1</f>
        <v>1</v>
      </c>
      <c r="L165" s="38">
        <f>IFERROR(IF(VLOOKUP(J165,'Facility Info Input'!$B$25:$D$34,3,FALSE)="",1,VLOOKUP(J165,'Facility Info Input'!$B$25:$D$34,3,FALSE)),0)</f>
        <v>0</v>
      </c>
      <c r="M165" s="22" t="str">
        <f>IF(StaffPayroll[[#This Row],[Employee ID Number / Code]]="","",IF(StaffPayroll[[#This Row],[Position / Title]]="","",VLOOKUP(StaffPayroll[[#This Row],[Position / Title]],Lists!A:C,2,FALSE)))</f>
        <v/>
      </c>
      <c r="N165" s="22">
        <f>IF(C165="",0,StaffPayroll[[#This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5" s="31">
        <f>IF(StaffPayroll[[#This Row],[Hourly WSB  Wage Minimum]]="",0,StaffPayroll[[#This Row],[Annual NF Wage Costs after WSB Minimum]]-StaffPayroll[[#This Row],[Annual NF Wage Costs before WSB Minimum]])</f>
        <v>0</v>
      </c>
      <c r="Q165" s="31">
        <f>IFERROR(IF(StaffPayroll[[#This Row],[Annual Cost of Wage Increase included in Rate Adjustment]]=0,0,P165*'Facility Info Input'!$F$10),0)</f>
        <v>0</v>
      </c>
      <c r="R165" s="32">
        <f>IFERROR(IF(StaffPayroll[[#This Row],[Annual Cost of Wage Increase included in Rate Adjustment]]=0,0,IF('Facility Info Input'!$F$11&lt;=0,0,P165*'Facility Info Input'!$F$11)),0)</f>
        <v>0</v>
      </c>
      <c r="S165" s="32">
        <f>IFERROR(IF(StaffPayroll[[#This Row],[Annual Cost of Wage Increase included in Rate Adjustment]]=0,0,IF('Facility Info Input'!$F$12&lt;=0,0,P165*'Facility Info Input'!$F$12)),0)</f>
        <v>0</v>
      </c>
      <c r="T165" s="32">
        <f t="shared" si="4"/>
        <v>0</v>
      </c>
      <c r="U165" s="33">
        <f t="shared" si="5"/>
        <v>0</v>
      </c>
    </row>
    <row r="166" spans="1:21">
      <c r="A166" s="76"/>
      <c r="B166" s="77"/>
      <c r="C166" s="81"/>
      <c r="D166" s="82"/>
      <c r="E166" s="82"/>
      <c r="F166" s="83"/>
      <c r="G166" s="84"/>
      <c r="H166" s="85"/>
      <c r="I166" s="71" t="e">
        <f>#REF!&amp;" "&amp;StaffPayroll[[#This Row],[Employee ID Number / Code]]</f>
        <v>#REF!</v>
      </c>
      <c r="J166" s="71" t="str">
        <f>_xlfn.IFNA(VLOOKUP(StaffPayroll[[#This Row],[Position / Title]],Lists!A:C,3,FALSE),"")</f>
        <v/>
      </c>
      <c r="K166" s="71">
        <f>StaffPayroll[[#This Row],[Payroll Period Ends Date (Minimum two months)]]-StaffPayroll[[#This Row],[Payroll Period Begins Date        (Must start after 6/1/2025)]]+1</f>
        <v>1</v>
      </c>
      <c r="L166" s="38">
        <f>IFERROR(IF(VLOOKUP(J166,'Facility Info Input'!$B$25:$D$34,3,FALSE)="",1,VLOOKUP(J166,'Facility Info Input'!$B$25:$D$34,3,FALSE)),0)</f>
        <v>0</v>
      </c>
      <c r="M166" s="22" t="str">
        <f>IF(StaffPayroll[[#This Row],[Employee ID Number / Code]]="","",IF(StaffPayroll[[#This Row],[Position / Title]]="","",VLOOKUP(StaffPayroll[[#This Row],[Position / Title]],Lists!A:C,2,FALSE)))</f>
        <v/>
      </c>
      <c r="N166" s="22">
        <f>IF(C166="",0,StaffPayroll[[#This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6" s="31">
        <f>IF(StaffPayroll[[#This Row],[Hourly WSB  Wage Minimum]]="",0,StaffPayroll[[#This Row],[Annual NF Wage Costs after WSB Minimum]]-StaffPayroll[[#This Row],[Annual NF Wage Costs before WSB Minimum]])</f>
        <v>0</v>
      </c>
      <c r="Q166" s="31">
        <f>IFERROR(IF(StaffPayroll[[#This Row],[Annual Cost of Wage Increase included in Rate Adjustment]]=0,0,P166*'Facility Info Input'!$F$10),0)</f>
        <v>0</v>
      </c>
      <c r="R166" s="32">
        <f>IFERROR(IF(StaffPayroll[[#This Row],[Annual Cost of Wage Increase included in Rate Adjustment]]=0,0,IF('Facility Info Input'!$F$11&lt;=0,0,P166*'Facility Info Input'!$F$11)),0)</f>
        <v>0</v>
      </c>
      <c r="S166" s="32">
        <f>IFERROR(IF(StaffPayroll[[#This Row],[Annual Cost of Wage Increase included in Rate Adjustment]]=0,0,IF('Facility Info Input'!$F$12&lt;=0,0,P166*'Facility Info Input'!$F$12)),0)</f>
        <v>0</v>
      </c>
      <c r="T166" s="32">
        <f t="shared" si="4"/>
        <v>0</v>
      </c>
      <c r="U166" s="33">
        <f t="shared" si="5"/>
        <v>0</v>
      </c>
    </row>
    <row r="167" spans="1:21">
      <c r="A167" s="76"/>
      <c r="B167" s="77"/>
      <c r="C167" s="81"/>
      <c r="D167" s="82"/>
      <c r="E167" s="82"/>
      <c r="F167" s="83"/>
      <c r="G167" s="84"/>
      <c r="H167" s="85"/>
      <c r="I167" s="71" t="e">
        <f>#REF!&amp;" "&amp;StaffPayroll[[#This Row],[Employee ID Number / Code]]</f>
        <v>#REF!</v>
      </c>
      <c r="J167" s="71" t="str">
        <f>_xlfn.IFNA(VLOOKUP(StaffPayroll[[#This Row],[Position / Title]],Lists!A:C,3,FALSE),"")</f>
        <v/>
      </c>
      <c r="K167" s="71">
        <f>StaffPayroll[[#This Row],[Payroll Period Ends Date (Minimum two months)]]-StaffPayroll[[#This Row],[Payroll Period Begins Date        (Must start after 6/1/2025)]]+1</f>
        <v>1</v>
      </c>
      <c r="L167" s="38">
        <f>IFERROR(IF(VLOOKUP(J167,'Facility Info Input'!$B$25:$D$34,3,FALSE)="",1,VLOOKUP(J167,'Facility Info Input'!$B$25:$D$34,3,FALSE)),0)</f>
        <v>0</v>
      </c>
      <c r="M167" s="22" t="str">
        <f>IF(StaffPayroll[[#This Row],[Employee ID Number / Code]]="","",IF(StaffPayroll[[#This Row],[Position / Title]]="","",VLOOKUP(StaffPayroll[[#This Row],[Position / Title]],Lists!A:C,2,FALSE)))</f>
        <v/>
      </c>
      <c r="N167" s="22">
        <f>IF(C167="",0,StaffPayroll[[#This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7" s="31">
        <f>IF(StaffPayroll[[#This Row],[Hourly WSB  Wage Minimum]]="",0,StaffPayroll[[#This Row],[Annual NF Wage Costs after WSB Minimum]]-StaffPayroll[[#This Row],[Annual NF Wage Costs before WSB Minimum]])</f>
        <v>0</v>
      </c>
      <c r="Q167" s="31">
        <f>IFERROR(IF(StaffPayroll[[#This Row],[Annual Cost of Wage Increase included in Rate Adjustment]]=0,0,P167*'Facility Info Input'!$F$10),0)</f>
        <v>0</v>
      </c>
      <c r="R167" s="32">
        <f>IFERROR(IF(StaffPayroll[[#This Row],[Annual Cost of Wage Increase included in Rate Adjustment]]=0,0,IF('Facility Info Input'!$F$11&lt;=0,0,P167*'Facility Info Input'!$F$11)),0)</f>
        <v>0</v>
      </c>
      <c r="S167" s="32">
        <f>IFERROR(IF(StaffPayroll[[#This Row],[Annual Cost of Wage Increase included in Rate Adjustment]]=0,0,IF('Facility Info Input'!$F$12&lt;=0,0,P167*'Facility Info Input'!$F$12)),0)</f>
        <v>0</v>
      </c>
      <c r="T167" s="32">
        <f t="shared" si="4"/>
        <v>0</v>
      </c>
      <c r="U167" s="33">
        <f t="shared" si="5"/>
        <v>0</v>
      </c>
    </row>
    <row r="168" spans="1:21">
      <c r="A168" s="76"/>
      <c r="B168" s="77"/>
      <c r="C168" s="81"/>
      <c r="D168" s="82"/>
      <c r="E168" s="82"/>
      <c r="F168" s="83"/>
      <c r="G168" s="84"/>
      <c r="H168" s="85"/>
      <c r="I168" s="71" t="e">
        <f>#REF!&amp;" "&amp;StaffPayroll[[#This Row],[Employee ID Number / Code]]</f>
        <v>#REF!</v>
      </c>
      <c r="J168" s="71" t="str">
        <f>_xlfn.IFNA(VLOOKUP(StaffPayroll[[#This Row],[Position / Title]],Lists!A:C,3,FALSE),"")</f>
        <v/>
      </c>
      <c r="K168" s="71">
        <f>StaffPayroll[[#This Row],[Payroll Period Ends Date (Minimum two months)]]-StaffPayroll[[#This Row],[Payroll Period Begins Date        (Must start after 6/1/2025)]]+1</f>
        <v>1</v>
      </c>
      <c r="L168" s="38">
        <f>IFERROR(IF(VLOOKUP(J168,'Facility Info Input'!$B$25:$D$34,3,FALSE)="",1,VLOOKUP(J168,'Facility Info Input'!$B$25:$D$34,3,FALSE)),0)</f>
        <v>0</v>
      </c>
      <c r="M168" s="22" t="str">
        <f>IF(StaffPayroll[[#This Row],[Employee ID Number / Code]]="","",IF(StaffPayroll[[#This Row],[Position / Title]]="","",VLOOKUP(StaffPayroll[[#This Row],[Position / Title]],Lists!A:C,2,FALSE)))</f>
        <v/>
      </c>
      <c r="N168" s="22">
        <f>IF(C168="",0,StaffPayroll[[#This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8" s="31">
        <f>IF(StaffPayroll[[#This Row],[Hourly WSB  Wage Minimum]]="",0,StaffPayroll[[#This Row],[Annual NF Wage Costs after WSB Minimum]]-StaffPayroll[[#This Row],[Annual NF Wage Costs before WSB Minimum]])</f>
        <v>0</v>
      </c>
      <c r="Q168" s="31">
        <f>IFERROR(IF(StaffPayroll[[#This Row],[Annual Cost of Wage Increase included in Rate Adjustment]]=0,0,P168*'Facility Info Input'!$F$10),0)</f>
        <v>0</v>
      </c>
      <c r="R168" s="32">
        <f>IFERROR(IF(StaffPayroll[[#This Row],[Annual Cost of Wage Increase included in Rate Adjustment]]=0,0,IF('Facility Info Input'!$F$11&lt;=0,0,P168*'Facility Info Input'!$F$11)),0)</f>
        <v>0</v>
      </c>
      <c r="S168" s="32">
        <f>IFERROR(IF(StaffPayroll[[#This Row],[Annual Cost of Wage Increase included in Rate Adjustment]]=0,0,IF('Facility Info Input'!$F$12&lt;=0,0,P168*'Facility Info Input'!$F$12)),0)</f>
        <v>0</v>
      </c>
      <c r="T168" s="32">
        <f t="shared" si="4"/>
        <v>0</v>
      </c>
      <c r="U168" s="33">
        <f t="shared" si="5"/>
        <v>0</v>
      </c>
    </row>
    <row r="169" spans="1:21">
      <c r="A169" s="76"/>
      <c r="B169" s="77"/>
      <c r="C169" s="81"/>
      <c r="D169" s="82"/>
      <c r="E169" s="82"/>
      <c r="F169" s="83"/>
      <c r="G169" s="84"/>
      <c r="H169" s="85"/>
      <c r="I169" s="71" t="e">
        <f>#REF!&amp;" "&amp;StaffPayroll[[#This Row],[Employee ID Number / Code]]</f>
        <v>#REF!</v>
      </c>
      <c r="J169" s="71" t="str">
        <f>_xlfn.IFNA(VLOOKUP(StaffPayroll[[#This Row],[Position / Title]],Lists!A:C,3,FALSE),"")</f>
        <v/>
      </c>
      <c r="K169" s="71">
        <f>StaffPayroll[[#This Row],[Payroll Period Ends Date (Minimum two months)]]-StaffPayroll[[#This Row],[Payroll Period Begins Date        (Must start after 6/1/2025)]]+1</f>
        <v>1</v>
      </c>
      <c r="L169" s="38">
        <f>IFERROR(IF(VLOOKUP(J169,'Facility Info Input'!$B$25:$D$34,3,FALSE)="",1,VLOOKUP(J169,'Facility Info Input'!$B$25:$D$34,3,FALSE)),0)</f>
        <v>0</v>
      </c>
      <c r="M169" s="22" t="str">
        <f>IF(StaffPayroll[[#This Row],[Employee ID Number / Code]]="","",IF(StaffPayroll[[#This Row],[Position / Title]]="","",VLOOKUP(StaffPayroll[[#This Row],[Position / Title]],Lists!A:C,2,FALSE)))</f>
        <v/>
      </c>
      <c r="N169" s="22">
        <f>IF(C169="",0,StaffPayroll[[#This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6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69" s="31">
        <f>IF(StaffPayroll[[#This Row],[Hourly WSB  Wage Minimum]]="",0,StaffPayroll[[#This Row],[Annual NF Wage Costs after WSB Minimum]]-StaffPayroll[[#This Row],[Annual NF Wage Costs before WSB Minimum]])</f>
        <v>0</v>
      </c>
      <c r="Q169" s="31">
        <f>IFERROR(IF(StaffPayroll[[#This Row],[Annual Cost of Wage Increase included in Rate Adjustment]]=0,0,P169*'Facility Info Input'!$F$10),0)</f>
        <v>0</v>
      </c>
      <c r="R169" s="32">
        <f>IFERROR(IF(StaffPayroll[[#This Row],[Annual Cost of Wage Increase included in Rate Adjustment]]=0,0,IF('Facility Info Input'!$F$11&lt;=0,0,P169*'Facility Info Input'!$F$11)),0)</f>
        <v>0</v>
      </c>
      <c r="S169" s="32">
        <f>IFERROR(IF(StaffPayroll[[#This Row],[Annual Cost of Wage Increase included in Rate Adjustment]]=0,0,IF('Facility Info Input'!$F$12&lt;=0,0,P169*'Facility Info Input'!$F$12)),0)</f>
        <v>0</v>
      </c>
      <c r="T169" s="32">
        <f t="shared" si="4"/>
        <v>0</v>
      </c>
      <c r="U169" s="33">
        <f t="shared" si="5"/>
        <v>0</v>
      </c>
    </row>
    <row r="170" spans="1:21">
      <c r="A170" s="76"/>
      <c r="B170" s="77"/>
      <c r="C170" s="81"/>
      <c r="D170" s="82"/>
      <c r="E170" s="82"/>
      <c r="F170" s="83"/>
      <c r="G170" s="84"/>
      <c r="H170" s="85"/>
      <c r="I170" s="71" t="e">
        <f>#REF!&amp;" "&amp;StaffPayroll[[#This Row],[Employee ID Number / Code]]</f>
        <v>#REF!</v>
      </c>
      <c r="J170" s="71" t="str">
        <f>_xlfn.IFNA(VLOOKUP(StaffPayroll[[#This Row],[Position / Title]],Lists!A:C,3,FALSE),"")</f>
        <v/>
      </c>
      <c r="K170" s="71">
        <f>StaffPayroll[[#This Row],[Payroll Period Ends Date (Minimum two months)]]-StaffPayroll[[#This Row],[Payroll Period Begins Date        (Must start after 6/1/2025)]]+1</f>
        <v>1</v>
      </c>
      <c r="L170" s="38">
        <f>IFERROR(IF(VLOOKUP(J170,'Facility Info Input'!$B$25:$D$34,3,FALSE)="",1,VLOOKUP(J170,'Facility Info Input'!$B$25:$D$34,3,FALSE)),0)</f>
        <v>0</v>
      </c>
      <c r="M170" s="22" t="str">
        <f>IF(StaffPayroll[[#This Row],[Employee ID Number / Code]]="","",IF(StaffPayroll[[#This Row],[Position / Title]]="","",VLOOKUP(StaffPayroll[[#This Row],[Position / Title]],Lists!A:C,2,FALSE)))</f>
        <v/>
      </c>
      <c r="N170" s="22">
        <f>IF(C170="",0,StaffPayroll[[#This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0" s="31">
        <f>IF(StaffPayroll[[#This Row],[Hourly WSB  Wage Minimum]]="",0,StaffPayroll[[#This Row],[Annual NF Wage Costs after WSB Minimum]]-StaffPayroll[[#This Row],[Annual NF Wage Costs before WSB Minimum]])</f>
        <v>0</v>
      </c>
      <c r="Q170" s="31">
        <f>IFERROR(IF(StaffPayroll[[#This Row],[Annual Cost of Wage Increase included in Rate Adjustment]]=0,0,P170*'Facility Info Input'!$F$10),0)</f>
        <v>0</v>
      </c>
      <c r="R170" s="32">
        <f>IFERROR(IF(StaffPayroll[[#This Row],[Annual Cost of Wage Increase included in Rate Adjustment]]=0,0,IF('Facility Info Input'!$F$11&lt;=0,0,P170*'Facility Info Input'!$F$11)),0)</f>
        <v>0</v>
      </c>
      <c r="S170" s="32">
        <f>IFERROR(IF(StaffPayroll[[#This Row],[Annual Cost of Wage Increase included in Rate Adjustment]]=0,0,IF('Facility Info Input'!$F$12&lt;=0,0,P170*'Facility Info Input'!$F$12)),0)</f>
        <v>0</v>
      </c>
      <c r="T170" s="32">
        <f t="shared" si="4"/>
        <v>0</v>
      </c>
      <c r="U170" s="33">
        <f t="shared" si="5"/>
        <v>0</v>
      </c>
    </row>
    <row r="171" spans="1:21">
      <c r="A171" s="76"/>
      <c r="B171" s="77"/>
      <c r="C171" s="81"/>
      <c r="D171" s="82"/>
      <c r="E171" s="82"/>
      <c r="F171" s="83"/>
      <c r="G171" s="84"/>
      <c r="H171" s="85"/>
      <c r="I171" s="71" t="e">
        <f>#REF!&amp;" "&amp;StaffPayroll[[#This Row],[Employee ID Number / Code]]</f>
        <v>#REF!</v>
      </c>
      <c r="J171" s="71" t="str">
        <f>_xlfn.IFNA(VLOOKUP(StaffPayroll[[#This Row],[Position / Title]],Lists!A:C,3,FALSE),"")</f>
        <v/>
      </c>
      <c r="K171" s="71">
        <f>StaffPayroll[[#This Row],[Payroll Period Ends Date (Minimum two months)]]-StaffPayroll[[#This Row],[Payroll Period Begins Date        (Must start after 6/1/2025)]]+1</f>
        <v>1</v>
      </c>
      <c r="L171" s="38">
        <f>IFERROR(IF(VLOOKUP(J171,'Facility Info Input'!$B$25:$D$34,3,FALSE)="",1,VLOOKUP(J171,'Facility Info Input'!$B$25:$D$34,3,FALSE)),0)</f>
        <v>0</v>
      </c>
      <c r="M171" s="22" t="str">
        <f>IF(StaffPayroll[[#This Row],[Employee ID Number / Code]]="","",IF(StaffPayroll[[#This Row],[Position / Title]]="","",VLOOKUP(StaffPayroll[[#This Row],[Position / Title]],Lists!A:C,2,FALSE)))</f>
        <v/>
      </c>
      <c r="N171" s="22">
        <f>IF(C171="",0,StaffPayroll[[#This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1" s="31">
        <f>IF(StaffPayroll[[#This Row],[Hourly WSB  Wage Minimum]]="",0,StaffPayroll[[#This Row],[Annual NF Wage Costs after WSB Minimum]]-StaffPayroll[[#This Row],[Annual NF Wage Costs before WSB Minimum]])</f>
        <v>0</v>
      </c>
      <c r="Q171" s="31">
        <f>IFERROR(IF(StaffPayroll[[#This Row],[Annual Cost of Wage Increase included in Rate Adjustment]]=0,0,P171*'Facility Info Input'!$F$10),0)</f>
        <v>0</v>
      </c>
      <c r="R171" s="32">
        <f>IFERROR(IF(StaffPayroll[[#This Row],[Annual Cost of Wage Increase included in Rate Adjustment]]=0,0,IF('Facility Info Input'!$F$11&lt;=0,0,P171*'Facility Info Input'!$F$11)),0)</f>
        <v>0</v>
      </c>
      <c r="S171" s="32">
        <f>IFERROR(IF(StaffPayroll[[#This Row],[Annual Cost of Wage Increase included in Rate Adjustment]]=0,0,IF('Facility Info Input'!$F$12&lt;=0,0,P171*'Facility Info Input'!$F$12)),0)</f>
        <v>0</v>
      </c>
      <c r="T171" s="32">
        <f t="shared" si="4"/>
        <v>0</v>
      </c>
      <c r="U171" s="33">
        <f t="shared" si="5"/>
        <v>0</v>
      </c>
    </row>
    <row r="172" spans="1:21">
      <c r="A172" s="76"/>
      <c r="B172" s="77"/>
      <c r="C172" s="81"/>
      <c r="D172" s="82"/>
      <c r="E172" s="82"/>
      <c r="F172" s="83"/>
      <c r="G172" s="84"/>
      <c r="H172" s="85"/>
      <c r="I172" s="71" t="e">
        <f>#REF!&amp;" "&amp;StaffPayroll[[#This Row],[Employee ID Number / Code]]</f>
        <v>#REF!</v>
      </c>
      <c r="J172" s="71" t="str">
        <f>_xlfn.IFNA(VLOOKUP(StaffPayroll[[#This Row],[Position / Title]],Lists!A:C,3,FALSE),"")</f>
        <v/>
      </c>
      <c r="K172" s="71">
        <f>StaffPayroll[[#This Row],[Payroll Period Ends Date (Minimum two months)]]-StaffPayroll[[#This Row],[Payroll Period Begins Date        (Must start after 6/1/2025)]]+1</f>
        <v>1</v>
      </c>
      <c r="L172" s="38">
        <f>IFERROR(IF(VLOOKUP(J172,'Facility Info Input'!$B$25:$D$34,3,FALSE)="",1,VLOOKUP(J172,'Facility Info Input'!$B$25:$D$34,3,FALSE)),0)</f>
        <v>0</v>
      </c>
      <c r="M172" s="22" t="str">
        <f>IF(StaffPayroll[[#This Row],[Employee ID Number / Code]]="","",IF(StaffPayroll[[#This Row],[Position / Title]]="","",VLOOKUP(StaffPayroll[[#This Row],[Position / Title]],Lists!A:C,2,FALSE)))</f>
        <v/>
      </c>
      <c r="N172" s="22">
        <f>IF(C172="",0,StaffPayroll[[#This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2" s="31">
        <f>IF(StaffPayroll[[#This Row],[Hourly WSB  Wage Minimum]]="",0,StaffPayroll[[#This Row],[Annual NF Wage Costs after WSB Minimum]]-StaffPayroll[[#This Row],[Annual NF Wage Costs before WSB Minimum]])</f>
        <v>0</v>
      </c>
      <c r="Q172" s="31">
        <f>IFERROR(IF(StaffPayroll[[#This Row],[Annual Cost of Wage Increase included in Rate Adjustment]]=0,0,P172*'Facility Info Input'!$F$10),0)</f>
        <v>0</v>
      </c>
      <c r="R172" s="32">
        <f>IFERROR(IF(StaffPayroll[[#This Row],[Annual Cost of Wage Increase included in Rate Adjustment]]=0,0,IF('Facility Info Input'!$F$11&lt;=0,0,P172*'Facility Info Input'!$F$11)),0)</f>
        <v>0</v>
      </c>
      <c r="S172" s="32">
        <f>IFERROR(IF(StaffPayroll[[#This Row],[Annual Cost of Wage Increase included in Rate Adjustment]]=0,0,IF('Facility Info Input'!$F$12&lt;=0,0,P172*'Facility Info Input'!$F$12)),0)</f>
        <v>0</v>
      </c>
      <c r="T172" s="32">
        <f t="shared" si="4"/>
        <v>0</v>
      </c>
      <c r="U172" s="33">
        <f t="shared" si="5"/>
        <v>0</v>
      </c>
    </row>
    <row r="173" spans="1:21">
      <c r="A173" s="76"/>
      <c r="B173" s="77"/>
      <c r="C173" s="81"/>
      <c r="D173" s="82"/>
      <c r="E173" s="82"/>
      <c r="F173" s="83"/>
      <c r="G173" s="84"/>
      <c r="H173" s="85"/>
      <c r="I173" s="71" t="e">
        <f>#REF!&amp;" "&amp;StaffPayroll[[#This Row],[Employee ID Number / Code]]</f>
        <v>#REF!</v>
      </c>
      <c r="J173" s="71" t="str">
        <f>_xlfn.IFNA(VLOOKUP(StaffPayroll[[#This Row],[Position / Title]],Lists!A:C,3,FALSE),"")</f>
        <v/>
      </c>
      <c r="K173" s="71">
        <f>StaffPayroll[[#This Row],[Payroll Period Ends Date (Minimum two months)]]-StaffPayroll[[#This Row],[Payroll Period Begins Date        (Must start after 6/1/2025)]]+1</f>
        <v>1</v>
      </c>
      <c r="L173" s="38">
        <f>IFERROR(IF(VLOOKUP(J173,'Facility Info Input'!$B$25:$D$34,3,FALSE)="",1,VLOOKUP(J173,'Facility Info Input'!$B$25:$D$34,3,FALSE)),0)</f>
        <v>0</v>
      </c>
      <c r="M173" s="22" t="str">
        <f>IF(StaffPayroll[[#This Row],[Employee ID Number / Code]]="","",IF(StaffPayroll[[#This Row],[Position / Title]]="","",VLOOKUP(StaffPayroll[[#This Row],[Position / Title]],Lists!A:C,2,FALSE)))</f>
        <v/>
      </c>
      <c r="N173" s="22">
        <f>IF(C173="",0,StaffPayroll[[#This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3" s="31">
        <f>IF(StaffPayroll[[#This Row],[Hourly WSB  Wage Minimum]]="",0,StaffPayroll[[#This Row],[Annual NF Wage Costs after WSB Minimum]]-StaffPayroll[[#This Row],[Annual NF Wage Costs before WSB Minimum]])</f>
        <v>0</v>
      </c>
      <c r="Q173" s="31">
        <f>IFERROR(IF(StaffPayroll[[#This Row],[Annual Cost of Wage Increase included in Rate Adjustment]]=0,0,P173*'Facility Info Input'!$F$10),0)</f>
        <v>0</v>
      </c>
      <c r="R173" s="32">
        <f>IFERROR(IF(StaffPayroll[[#This Row],[Annual Cost of Wage Increase included in Rate Adjustment]]=0,0,IF('Facility Info Input'!$F$11&lt;=0,0,P173*'Facility Info Input'!$F$11)),0)</f>
        <v>0</v>
      </c>
      <c r="S173" s="32">
        <f>IFERROR(IF(StaffPayroll[[#This Row],[Annual Cost of Wage Increase included in Rate Adjustment]]=0,0,IF('Facility Info Input'!$F$12&lt;=0,0,P173*'Facility Info Input'!$F$12)),0)</f>
        <v>0</v>
      </c>
      <c r="T173" s="32">
        <f t="shared" si="4"/>
        <v>0</v>
      </c>
      <c r="U173" s="33">
        <f t="shared" si="5"/>
        <v>0</v>
      </c>
    </row>
    <row r="174" spans="1:21">
      <c r="A174" s="76"/>
      <c r="B174" s="77"/>
      <c r="C174" s="81"/>
      <c r="D174" s="82"/>
      <c r="E174" s="82"/>
      <c r="F174" s="83"/>
      <c r="G174" s="84"/>
      <c r="H174" s="85"/>
      <c r="I174" s="71" t="e">
        <f>#REF!&amp;" "&amp;StaffPayroll[[#This Row],[Employee ID Number / Code]]</f>
        <v>#REF!</v>
      </c>
      <c r="J174" s="71" t="str">
        <f>_xlfn.IFNA(VLOOKUP(StaffPayroll[[#This Row],[Position / Title]],Lists!A:C,3,FALSE),"")</f>
        <v/>
      </c>
      <c r="K174" s="71">
        <f>StaffPayroll[[#This Row],[Payroll Period Ends Date (Minimum two months)]]-StaffPayroll[[#This Row],[Payroll Period Begins Date        (Must start after 6/1/2025)]]+1</f>
        <v>1</v>
      </c>
      <c r="L174" s="38">
        <f>IFERROR(IF(VLOOKUP(J174,'Facility Info Input'!$B$25:$D$34,3,FALSE)="",1,VLOOKUP(J174,'Facility Info Input'!$B$25:$D$34,3,FALSE)),0)</f>
        <v>0</v>
      </c>
      <c r="M174" s="22" t="str">
        <f>IF(StaffPayroll[[#This Row],[Employee ID Number / Code]]="","",IF(StaffPayroll[[#This Row],[Position / Title]]="","",VLOOKUP(StaffPayroll[[#This Row],[Position / Title]],Lists!A:C,2,FALSE)))</f>
        <v/>
      </c>
      <c r="N174" s="22">
        <f>IF(C174="",0,StaffPayroll[[#This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4" s="31">
        <f>IF(StaffPayroll[[#This Row],[Hourly WSB  Wage Minimum]]="",0,StaffPayroll[[#This Row],[Annual NF Wage Costs after WSB Minimum]]-StaffPayroll[[#This Row],[Annual NF Wage Costs before WSB Minimum]])</f>
        <v>0</v>
      </c>
      <c r="Q174" s="31">
        <f>IFERROR(IF(StaffPayroll[[#This Row],[Annual Cost of Wage Increase included in Rate Adjustment]]=0,0,P174*'Facility Info Input'!$F$10),0)</f>
        <v>0</v>
      </c>
      <c r="R174" s="32">
        <f>IFERROR(IF(StaffPayroll[[#This Row],[Annual Cost of Wage Increase included in Rate Adjustment]]=0,0,IF('Facility Info Input'!$F$11&lt;=0,0,P174*'Facility Info Input'!$F$11)),0)</f>
        <v>0</v>
      </c>
      <c r="S174" s="32">
        <f>IFERROR(IF(StaffPayroll[[#This Row],[Annual Cost of Wage Increase included in Rate Adjustment]]=0,0,IF('Facility Info Input'!$F$12&lt;=0,0,P174*'Facility Info Input'!$F$12)),0)</f>
        <v>0</v>
      </c>
      <c r="T174" s="32">
        <f t="shared" si="4"/>
        <v>0</v>
      </c>
      <c r="U174" s="33">
        <f t="shared" si="5"/>
        <v>0</v>
      </c>
    </row>
    <row r="175" spans="1:21">
      <c r="A175" s="76"/>
      <c r="B175" s="77"/>
      <c r="C175" s="81"/>
      <c r="D175" s="82"/>
      <c r="E175" s="82"/>
      <c r="F175" s="83"/>
      <c r="G175" s="84"/>
      <c r="H175" s="85"/>
      <c r="I175" s="71" t="e">
        <f>#REF!&amp;" "&amp;StaffPayroll[[#This Row],[Employee ID Number / Code]]</f>
        <v>#REF!</v>
      </c>
      <c r="J175" s="71" t="str">
        <f>_xlfn.IFNA(VLOOKUP(StaffPayroll[[#This Row],[Position / Title]],Lists!A:C,3,FALSE),"")</f>
        <v/>
      </c>
      <c r="K175" s="71">
        <f>StaffPayroll[[#This Row],[Payroll Period Ends Date (Minimum two months)]]-StaffPayroll[[#This Row],[Payroll Period Begins Date        (Must start after 6/1/2025)]]+1</f>
        <v>1</v>
      </c>
      <c r="L175" s="38">
        <f>IFERROR(IF(VLOOKUP(J175,'Facility Info Input'!$B$25:$D$34,3,FALSE)="",1,VLOOKUP(J175,'Facility Info Input'!$B$25:$D$34,3,FALSE)),0)</f>
        <v>0</v>
      </c>
      <c r="M175" s="22" t="str">
        <f>IF(StaffPayroll[[#This Row],[Employee ID Number / Code]]="","",IF(StaffPayroll[[#This Row],[Position / Title]]="","",VLOOKUP(StaffPayroll[[#This Row],[Position / Title]],Lists!A:C,2,FALSE)))</f>
        <v/>
      </c>
      <c r="N175" s="22">
        <f>IF(C175="",0,StaffPayroll[[#This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5" s="31">
        <f>IF(StaffPayroll[[#This Row],[Hourly WSB  Wage Minimum]]="",0,StaffPayroll[[#This Row],[Annual NF Wage Costs after WSB Minimum]]-StaffPayroll[[#This Row],[Annual NF Wage Costs before WSB Minimum]])</f>
        <v>0</v>
      </c>
      <c r="Q175" s="31">
        <f>IFERROR(IF(StaffPayroll[[#This Row],[Annual Cost of Wage Increase included in Rate Adjustment]]=0,0,P175*'Facility Info Input'!$F$10),0)</f>
        <v>0</v>
      </c>
      <c r="R175" s="32">
        <f>IFERROR(IF(StaffPayroll[[#This Row],[Annual Cost of Wage Increase included in Rate Adjustment]]=0,0,IF('Facility Info Input'!$F$11&lt;=0,0,P175*'Facility Info Input'!$F$11)),0)</f>
        <v>0</v>
      </c>
      <c r="S175" s="32">
        <f>IFERROR(IF(StaffPayroll[[#This Row],[Annual Cost of Wage Increase included in Rate Adjustment]]=0,0,IF('Facility Info Input'!$F$12&lt;=0,0,P175*'Facility Info Input'!$F$12)),0)</f>
        <v>0</v>
      </c>
      <c r="T175" s="32">
        <f t="shared" si="4"/>
        <v>0</v>
      </c>
      <c r="U175" s="33">
        <f t="shared" si="5"/>
        <v>0</v>
      </c>
    </row>
    <row r="176" spans="1:21">
      <c r="A176" s="76"/>
      <c r="B176" s="77"/>
      <c r="C176" s="81"/>
      <c r="D176" s="82"/>
      <c r="E176" s="82"/>
      <c r="F176" s="83"/>
      <c r="G176" s="84"/>
      <c r="H176" s="85"/>
      <c r="I176" s="71" t="e">
        <f>#REF!&amp;" "&amp;StaffPayroll[[#This Row],[Employee ID Number / Code]]</f>
        <v>#REF!</v>
      </c>
      <c r="J176" s="71" t="str">
        <f>_xlfn.IFNA(VLOOKUP(StaffPayroll[[#This Row],[Position / Title]],Lists!A:C,3,FALSE),"")</f>
        <v/>
      </c>
      <c r="K176" s="71">
        <f>StaffPayroll[[#This Row],[Payroll Period Ends Date (Minimum two months)]]-StaffPayroll[[#This Row],[Payroll Period Begins Date        (Must start after 6/1/2025)]]+1</f>
        <v>1</v>
      </c>
      <c r="L176" s="38">
        <f>IFERROR(IF(VLOOKUP(J176,'Facility Info Input'!$B$25:$D$34,3,FALSE)="",1,VLOOKUP(J176,'Facility Info Input'!$B$25:$D$34,3,FALSE)),0)</f>
        <v>0</v>
      </c>
      <c r="M176" s="22" t="str">
        <f>IF(StaffPayroll[[#This Row],[Employee ID Number / Code]]="","",IF(StaffPayroll[[#This Row],[Position / Title]]="","",VLOOKUP(StaffPayroll[[#This Row],[Position / Title]],Lists!A:C,2,FALSE)))</f>
        <v/>
      </c>
      <c r="N176" s="22">
        <f>IF(C176="",0,StaffPayroll[[#This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6" s="31">
        <f>IF(StaffPayroll[[#This Row],[Hourly WSB  Wage Minimum]]="",0,StaffPayroll[[#This Row],[Annual NF Wage Costs after WSB Minimum]]-StaffPayroll[[#This Row],[Annual NF Wage Costs before WSB Minimum]])</f>
        <v>0</v>
      </c>
      <c r="Q176" s="31">
        <f>IFERROR(IF(StaffPayroll[[#This Row],[Annual Cost of Wage Increase included in Rate Adjustment]]=0,0,P176*'Facility Info Input'!$F$10),0)</f>
        <v>0</v>
      </c>
      <c r="R176" s="32">
        <f>IFERROR(IF(StaffPayroll[[#This Row],[Annual Cost of Wage Increase included in Rate Adjustment]]=0,0,IF('Facility Info Input'!$F$11&lt;=0,0,P176*'Facility Info Input'!$F$11)),0)</f>
        <v>0</v>
      </c>
      <c r="S176" s="32">
        <f>IFERROR(IF(StaffPayroll[[#This Row],[Annual Cost of Wage Increase included in Rate Adjustment]]=0,0,IF('Facility Info Input'!$F$12&lt;=0,0,P176*'Facility Info Input'!$F$12)),0)</f>
        <v>0</v>
      </c>
      <c r="T176" s="32">
        <f t="shared" si="4"/>
        <v>0</v>
      </c>
      <c r="U176" s="33">
        <f t="shared" si="5"/>
        <v>0</v>
      </c>
    </row>
    <row r="177" spans="1:21">
      <c r="A177" s="76"/>
      <c r="B177" s="77"/>
      <c r="C177" s="81"/>
      <c r="D177" s="82"/>
      <c r="E177" s="82"/>
      <c r="F177" s="83"/>
      <c r="G177" s="84"/>
      <c r="H177" s="85"/>
      <c r="I177" s="71" t="e">
        <f>#REF!&amp;" "&amp;StaffPayroll[[#This Row],[Employee ID Number / Code]]</f>
        <v>#REF!</v>
      </c>
      <c r="J177" s="71" t="str">
        <f>_xlfn.IFNA(VLOOKUP(StaffPayroll[[#This Row],[Position / Title]],Lists!A:C,3,FALSE),"")</f>
        <v/>
      </c>
      <c r="K177" s="71">
        <f>StaffPayroll[[#This Row],[Payroll Period Ends Date (Minimum two months)]]-StaffPayroll[[#This Row],[Payroll Period Begins Date        (Must start after 6/1/2025)]]+1</f>
        <v>1</v>
      </c>
      <c r="L177" s="38">
        <f>IFERROR(IF(VLOOKUP(J177,'Facility Info Input'!$B$25:$D$34,3,FALSE)="",1,VLOOKUP(J177,'Facility Info Input'!$B$25:$D$34,3,FALSE)),0)</f>
        <v>0</v>
      </c>
      <c r="M177" s="22" t="str">
        <f>IF(StaffPayroll[[#This Row],[Employee ID Number / Code]]="","",IF(StaffPayroll[[#This Row],[Position / Title]]="","",VLOOKUP(StaffPayroll[[#This Row],[Position / Title]],Lists!A:C,2,FALSE)))</f>
        <v/>
      </c>
      <c r="N177" s="22">
        <f>IF(C177="",0,StaffPayroll[[#This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7" s="31">
        <f>IF(StaffPayroll[[#This Row],[Hourly WSB  Wage Minimum]]="",0,StaffPayroll[[#This Row],[Annual NF Wage Costs after WSB Minimum]]-StaffPayroll[[#This Row],[Annual NF Wage Costs before WSB Minimum]])</f>
        <v>0</v>
      </c>
      <c r="Q177" s="31">
        <f>IFERROR(IF(StaffPayroll[[#This Row],[Annual Cost of Wage Increase included in Rate Adjustment]]=0,0,P177*'Facility Info Input'!$F$10),0)</f>
        <v>0</v>
      </c>
      <c r="R177" s="32">
        <f>IFERROR(IF(StaffPayroll[[#This Row],[Annual Cost of Wage Increase included in Rate Adjustment]]=0,0,IF('Facility Info Input'!$F$11&lt;=0,0,P177*'Facility Info Input'!$F$11)),0)</f>
        <v>0</v>
      </c>
      <c r="S177" s="32">
        <f>IFERROR(IF(StaffPayroll[[#This Row],[Annual Cost of Wage Increase included in Rate Adjustment]]=0,0,IF('Facility Info Input'!$F$12&lt;=0,0,P177*'Facility Info Input'!$F$12)),0)</f>
        <v>0</v>
      </c>
      <c r="T177" s="32">
        <f t="shared" si="4"/>
        <v>0</v>
      </c>
      <c r="U177" s="33">
        <f t="shared" si="5"/>
        <v>0</v>
      </c>
    </row>
    <row r="178" spans="1:21">
      <c r="A178" s="76"/>
      <c r="B178" s="77"/>
      <c r="C178" s="81"/>
      <c r="D178" s="82"/>
      <c r="E178" s="82"/>
      <c r="F178" s="83"/>
      <c r="G178" s="84"/>
      <c r="H178" s="85"/>
      <c r="I178" s="71" t="e">
        <f>#REF!&amp;" "&amp;StaffPayroll[[#This Row],[Employee ID Number / Code]]</f>
        <v>#REF!</v>
      </c>
      <c r="J178" s="71" t="str">
        <f>_xlfn.IFNA(VLOOKUP(StaffPayroll[[#This Row],[Position / Title]],Lists!A:C,3,FALSE),"")</f>
        <v/>
      </c>
      <c r="K178" s="71">
        <f>StaffPayroll[[#This Row],[Payroll Period Ends Date (Minimum two months)]]-StaffPayroll[[#This Row],[Payroll Period Begins Date        (Must start after 6/1/2025)]]+1</f>
        <v>1</v>
      </c>
      <c r="L178" s="38">
        <f>IFERROR(IF(VLOOKUP(J178,'Facility Info Input'!$B$25:$D$34,3,FALSE)="",1,VLOOKUP(J178,'Facility Info Input'!$B$25:$D$34,3,FALSE)),0)</f>
        <v>0</v>
      </c>
      <c r="M178" s="22" t="str">
        <f>IF(StaffPayroll[[#This Row],[Employee ID Number / Code]]="","",IF(StaffPayroll[[#This Row],[Position / Title]]="","",VLOOKUP(StaffPayroll[[#This Row],[Position / Title]],Lists!A:C,2,FALSE)))</f>
        <v/>
      </c>
      <c r="N178" s="22">
        <f>IF(C178="",0,StaffPayroll[[#This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8" s="31">
        <f>IF(StaffPayroll[[#This Row],[Hourly WSB  Wage Minimum]]="",0,StaffPayroll[[#This Row],[Annual NF Wage Costs after WSB Minimum]]-StaffPayroll[[#This Row],[Annual NF Wage Costs before WSB Minimum]])</f>
        <v>0</v>
      </c>
      <c r="Q178" s="31">
        <f>IFERROR(IF(StaffPayroll[[#This Row],[Annual Cost of Wage Increase included in Rate Adjustment]]=0,0,P178*'Facility Info Input'!$F$10),0)</f>
        <v>0</v>
      </c>
      <c r="R178" s="32">
        <f>IFERROR(IF(StaffPayroll[[#This Row],[Annual Cost of Wage Increase included in Rate Adjustment]]=0,0,IF('Facility Info Input'!$F$11&lt;=0,0,P178*'Facility Info Input'!$F$11)),0)</f>
        <v>0</v>
      </c>
      <c r="S178" s="32">
        <f>IFERROR(IF(StaffPayroll[[#This Row],[Annual Cost of Wage Increase included in Rate Adjustment]]=0,0,IF('Facility Info Input'!$F$12&lt;=0,0,P178*'Facility Info Input'!$F$12)),0)</f>
        <v>0</v>
      </c>
      <c r="T178" s="32">
        <f t="shared" si="4"/>
        <v>0</v>
      </c>
      <c r="U178" s="33">
        <f t="shared" si="5"/>
        <v>0</v>
      </c>
    </row>
    <row r="179" spans="1:21">
      <c r="A179" s="76"/>
      <c r="B179" s="77"/>
      <c r="C179" s="81"/>
      <c r="D179" s="82"/>
      <c r="E179" s="82"/>
      <c r="F179" s="83"/>
      <c r="G179" s="84"/>
      <c r="H179" s="85"/>
      <c r="I179" s="71" t="e">
        <f>#REF!&amp;" "&amp;StaffPayroll[[#This Row],[Employee ID Number / Code]]</f>
        <v>#REF!</v>
      </c>
      <c r="J179" s="71" t="str">
        <f>_xlfn.IFNA(VLOOKUP(StaffPayroll[[#This Row],[Position / Title]],Lists!A:C,3,FALSE),"")</f>
        <v/>
      </c>
      <c r="K179" s="71">
        <f>StaffPayroll[[#This Row],[Payroll Period Ends Date (Minimum two months)]]-StaffPayroll[[#This Row],[Payroll Period Begins Date        (Must start after 6/1/2025)]]+1</f>
        <v>1</v>
      </c>
      <c r="L179" s="38">
        <f>IFERROR(IF(VLOOKUP(J179,'Facility Info Input'!$B$25:$D$34,3,FALSE)="",1,VLOOKUP(J179,'Facility Info Input'!$B$25:$D$34,3,FALSE)),0)</f>
        <v>0</v>
      </c>
      <c r="M179" s="22" t="str">
        <f>IF(StaffPayroll[[#This Row],[Employee ID Number / Code]]="","",IF(StaffPayroll[[#This Row],[Position / Title]]="","",VLOOKUP(StaffPayroll[[#This Row],[Position / Title]],Lists!A:C,2,FALSE)))</f>
        <v/>
      </c>
      <c r="N179" s="22">
        <f>IF(C179="",0,StaffPayroll[[#This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7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79" s="31">
        <f>IF(StaffPayroll[[#This Row],[Hourly WSB  Wage Minimum]]="",0,StaffPayroll[[#This Row],[Annual NF Wage Costs after WSB Minimum]]-StaffPayroll[[#This Row],[Annual NF Wage Costs before WSB Minimum]])</f>
        <v>0</v>
      </c>
      <c r="Q179" s="31">
        <f>IFERROR(IF(StaffPayroll[[#This Row],[Annual Cost of Wage Increase included in Rate Adjustment]]=0,0,P179*'Facility Info Input'!$F$10),0)</f>
        <v>0</v>
      </c>
      <c r="R179" s="32">
        <f>IFERROR(IF(StaffPayroll[[#This Row],[Annual Cost of Wage Increase included in Rate Adjustment]]=0,0,IF('Facility Info Input'!$F$11&lt;=0,0,P179*'Facility Info Input'!$F$11)),0)</f>
        <v>0</v>
      </c>
      <c r="S179" s="32">
        <f>IFERROR(IF(StaffPayroll[[#This Row],[Annual Cost of Wage Increase included in Rate Adjustment]]=0,0,IF('Facility Info Input'!$F$12&lt;=0,0,P179*'Facility Info Input'!$F$12)),0)</f>
        <v>0</v>
      </c>
      <c r="T179" s="32">
        <f t="shared" si="4"/>
        <v>0</v>
      </c>
      <c r="U179" s="33">
        <f t="shared" si="5"/>
        <v>0</v>
      </c>
    </row>
    <row r="180" spans="1:21">
      <c r="A180" s="76"/>
      <c r="B180" s="77"/>
      <c r="C180" s="81"/>
      <c r="D180" s="82"/>
      <c r="E180" s="82"/>
      <c r="F180" s="83"/>
      <c r="G180" s="84"/>
      <c r="H180" s="85"/>
      <c r="I180" s="71" t="e">
        <f>#REF!&amp;" "&amp;StaffPayroll[[#This Row],[Employee ID Number / Code]]</f>
        <v>#REF!</v>
      </c>
      <c r="J180" s="71" t="str">
        <f>_xlfn.IFNA(VLOOKUP(StaffPayroll[[#This Row],[Position / Title]],Lists!A:C,3,FALSE),"")</f>
        <v/>
      </c>
      <c r="K180" s="71">
        <f>StaffPayroll[[#This Row],[Payroll Period Ends Date (Minimum two months)]]-StaffPayroll[[#This Row],[Payroll Period Begins Date        (Must start after 6/1/2025)]]+1</f>
        <v>1</v>
      </c>
      <c r="L180" s="38">
        <f>IFERROR(IF(VLOOKUP(J180,'Facility Info Input'!$B$25:$D$34,3,FALSE)="",1,VLOOKUP(J180,'Facility Info Input'!$B$25:$D$34,3,FALSE)),0)</f>
        <v>0</v>
      </c>
      <c r="M180" s="22" t="str">
        <f>IF(StaffPayroll[[#This Row],[Employee ID Number / Code]]="","",IF(StaffPayroll[[#This Row],[Position / Title]]="","",VLOOKUP(StaffPayroll[[#This Row],[Position / Title]],Lists!A:C,2,FALSE)))</f>
        <v/>
      </c>
      <c r="N180" s="22">
        <f>IF(C180="",0,StaffPayroll[[#This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0" s="31">
        <f>IF(StaffPayroll[[#This Row],[Hourly WSB  Wage Minimum]]="",0,StaffPayroll[[#This Row],[Annual NF Wage Costs after WSB Minimum]]-StaffPayroll[[#This Row],[Annual NF Wage Costs before WSB Minimum]])</f>
        <v>0</v>
      </c>
      <c r="Q180" s="31">
        <f>IFERROR(IF(StaffPayroll[[#This Row],[Annual Cost of Wage Increase included in Rate Adjustment]]=0,0,P180*'Facility Info Input'!$F$10),0)</f>
        <v>0</v>
      </c>
      <c r="R180" s="32">
        <f>IFERROR(IF(StaffPayroll[[#This Row],[Annual Cost of Wage Increase included in Rate Adjustment]]=0,0,IF('Facility Info Input'!$F$11&lt;=0,0,P180*'Facility Info Input'!$F$11)),0)</f>
        <v>0</v>
      </c>
      <c r="S180" s="32">
        <f>IFERROR(IF(StaffPayroll[[#This Row],[Annual Cost of Wage Increase included in Rate Adjustment]]=0,0,IF('Facility Info Input'!$F$12&lt;=0,0,P180*'Facility Info Input'!$F$12)),0)</f>
        <v>0</v>
      </c>
      <c r="T180" s="32">
        <f t="shared" si="4"/>
        <v>0</v>
      </c>
      <c r="U180" s="33">
        <f t="shared" si="5"/>
        <v>0</v>
      </c>
    </row>
    <row r="181" spans="1:21">
      <c r="A181" s="76"/>
      <c r="B181" s="77"/>
      <c r="C181" s="81"/>
      <c r="D181" s="82"/>
      <c r="E181" s="82"/>
      <c r="F181" s="83"/>
      <c r="G181" s="84"/>
      <c r="H181" s="85"/>
      <c r="I181" s="71" t="e">
        <f>#REF!&amp;" "&amp;StaffPayroll[[#This Row],[Employee ID Number / Code]]</f>
        <v>#REF!</v>
      </c>
      <c r="J181" s="71" t="str">
        <f>_xlfn.IFNA(VLOOKUP(StaffPayroll[[#This Row],[Position / Title]],Lists!A:C,3,FALSE),"")</f>
        <v/>
      </c>
      <c r="K181" s="71">
        <f>StaffPayroll[[#This Row],[Payroll Period Ends Date (Minimum two months)]]-StaffPayroll[[#This Row],[Payroll Period Begins Date        (Must start after 6/1/2025)]]+1</f>
        <v>1</v>
      </c>
      <c r="L181" s="38">
        <f>IFERROR(IF(VLOOKUP(J181,'Facility Info Input'!$B$25:$D$34,3,FALSE)="",1,VLOOKUP(J181,'Facility Info Input'!$B$25:$D$34,3,FALSE)),0)</f>
        <v>0</v>
      </c>
      <c r="M181" s="22" t="str">
        <f>IF(StaffPayroll[[#This Row],[Employee ID Number / Code]]="","",IF(StaffPayroll[[#This Row],[Position / Title]]="","",VLOOKUP(StaffPayroll[[#This Row],[Position / Title]],Lists!A:C,2,FALSE)))</f>
        <v/>
      </c>
      <c r="N181" s="22">
        <f>IF(C181="",0,StaffPayroll[[#This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1" s="31">
        <f>IF(StaffPayroll[[#This Row],[Hourly WSB  Wage Minimum]]="",0,StaffPayroll[[#This Row],[Annual NF Wage Costs after WSB Minimum]]-StaffPayroll[[#This Row],[Annual NF Wage Costs before WSB Minimum]])</f>
        <v>0</v>
      </c>
      <c r="Q181" s="31">
        <f>IFERROR(IF(StaffPayroll[[#This Row],[Annual Cost of Wage Increase included in Rate Adjustment]]=0,0,P181*'Facility Info Input'!$F$10),0)</f>
        <v>0</v>
      </c>
      <c r="R181" s="32">
        <f>IFERROR(IF(StaffPayroll[[#This Row],[Annual Cost of Wage Increase included in Rate Adjustment]]=0,0,IF('Facility Info Input'!$F$11&lt;=0,0,P181*'Facility Info Input'!$F$11)),0)</f>
        <v>0</v>
      </c>
      <c r="S181" s="32">
        <f>IFERROR(IF(StaffPayroll[[#This Row],[Annual Cost of Wage Increase included in Rate Adjustment]]=0,0,IF('Facility Info Input'!$F$12&lt;=0,0,P181*'Facility Info Input'!$F$12)),0)</f>
        <v>0</v>
      </c>
      <c r="T181" s="32">
        <f t="shared" si="4"/>
        <v>0</v>
      </c>
      <c r="U181" s="33">
        <f t="shared" si="5"/>
        <v>0</v>
      </c>
    </row>
    <row r="182" spans="1:21">
      <c r="A182" s="76"/>
      <c r="B182" s="77"/>
      <c r="C182" s="81"/>
      <c r="D182" s="82"/>
      <c r="E182" s="82"/>
      <c r="F182" s="83"/>
      <c r="G182" s="84"/>
      <c r="H182" s="85"/>
      <c r="I182" s="71" t="e">
        <f>#REF!&amp;" "&amp;StaffPayroll[[#This Row],[Employee ID Number / Code]]</f>
        <v>#REF!</v>
      </c>
      <c r="J182" s="71" t="str">
        <f>_xlfn.IFNA(VLOOKUP(StaffPayroll[[#This Row],[Position / Title]],Lists!A:C,3,FALSE),"")</f>
        <v/>
      </c>
      <c r="K182" s="71">
        <f>StaffPayroll[[#This Row],[Payroll Period Ends Date (Minimum two months)]]-StaffPayroll[[#This Row],[Payroll Period Begins Date        (Must start after 6/1/2025)]]+1</f>
        <v>1</v>
      </c>
      <c r="L182" s="38">
        <f>IFERROR(IF(VLOOKUP(J182,'Facility Info Input'!$B$25:$D$34,3,FALSE)="",1,VLOOKUP(J182,'Facility Info Input'!$B$25:$D$34,3,FALSE)),0)</f>
        <v>0</v>
      </c>
      <c r="M182" s="22" t="str">
        <f>IF(StaffPayroll[[#This Row],[Employee ID Number / Code]]="","",IF(StaffPayroll[[#This Row],[Position / Title]]="","",VLOOKUP(StaffPayroll[[#This Row],[Position / Title]],Lists!A:C,2,FALSE)))</f>
        <v/>
      </c>
      <c r="N182" s="22">
        <f>IF(C182="",0,StaffPayroll[[#This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2" s="31">
        <f>IF(StaffPayroll[[#This Row],[Hourly WSB  Wage Minimum]]="",0,StaffPayroll[[#This Row],[Annual NF Wage Costs after WSB Minimum]]-StaffPayroll[[#This Row],[Annual NF Wage Costs before WSB Minimum]])</f>
        <v>0</v>
      </c>
      <c r="Q182" s="31">
        <f>IFERROR(IF(StaffPayroll[[#This Row],[Annual Cost of Wage Increase included in Rate Adjustment]]=0,0,P182*'Facility Info Input'!$F$10),0)</f>
        <v>0</v>
      </c>
      <c r="R182" s="32">
        <f>IFERROR(IF(StaffPayroll[[#This Row],[Annual Cost of Wage Increase included in Rate Adjustment]]=0,0,IF('Facility Info Input'!$F$11&lt;=0,0,P182*'Facility Info Input'!$F$11)),0)</f>
        <v>0</v>
      </c>
      <c r="S182" s="32">
        <f>IFERROR(IF(StaffPayroll[[#This Row],[Annual Cost of Wage Increase included in Rate Adjustment]]=0,0,IF('Facility Info Input'!$F$12&lt;=0,0,P182*'Facility Info Input'!$F$12)),0)</f>
        <v>0</v>
      </c>
      <c r="T182" s="32">
        <f t="shared" si="4"/>
        <v>0</v>
      </c>
      <c r="U182" s="33">
        <f t="shared" si="5"/>
        <v>0</v>
      </c>
    </row>
    <row r="183" spans="1:21">
      <c r="A183" s="76"/>
      <c r="B183" s="77"/>
      <c r="C183" s="81"/>
      <c r="D183" s="82"/>
      <c r="E183" s="82"/>
      <c r="F183" s="83"/>
      <c r="G183" s="84"/>
      <c r="H183" s="85"/>
      <c r="I183" s="71" t="e">
        <f>#REF!&amp;" "&amp;StaffPayroll[[#This Row],[Employee ID Number / Code]]</f>
        <v>#REF!</v>
      </c>
      <c r="J183" s="71" t="str">
        <f>_xlfn.IFNA(VLOOKUP(StaffPayroll[[#This Row],[Position / Title]],Lists!A:C,3,FALSE),"")</f>
        <v/>
      </c>
      <c r="K183" s="71">
        <f>StaffPayroll[[#This Row],[Payroll Period Ends Date (Minimum two months)]]-StaffPayroll[[#This Row],[Payroll Period Begins Date        (Must start after 6/1/2025)]]+1</f>
        <v>1</v>
      </c>
      <c r="L183" s="38">
        <f>IFERROR(IF(VLOOKUP(J183,'Facility Info Input'!$B$25:$D$34,3,FALSE)="",1,VLOOKUP(J183,'Facility Info Input'!$B$25:$D$34,3,FALSE)),0)</f>
        <v>0</v>
      </c>
      <c r="M183" s="22" t="str">
        <f>IF(StaffPayroll[[#This Row],[Employee ID Number / Code]]="","",IF(StaffPayroll[[#This Row],[Position / Title]]="","",VLOOKUP(StaffPayroll[[#This Row],[Position / Title]],Lists!A:C,2,FALSE)))</f>
        <v/>
      </c>
      <c r="N183" s="22">
        <f>IF(C183="",0,StaffPayroll[[#This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3" s="31">
        <f>IF(StaffPayroll[[#This Row],[Hourly WSB  Wage Minimum]]="",0,StaffPayroll[[#This Row],[Annual NF Wage Costs after WSB Minimum]]-StaffPayroll[[#This Row],[Annual NF Wage Costs before WSB Minimum]])</f>
        <v>0</v>
      </c>
      <c r="Q183" s="31">
        <f>IFERROR(IF(StaffPayroll[[#This Row],[Annual Cost of Wage Increase included in Rate Adjustment]]=0,0,P183*'Facility Info Input'!$F$10),0)</f>
        <v>0</v>
      </c>
      <c r="R183" s="32">
        <f>IFERROR(IF(StaffPayroll[[#This Row],[Annual Cost of Wage Increase included in Rate Adjustment]]=0,0,IF('Facility Info Input'!$F$11&lt;=0,0,P183*'Facility Info Input'!$F$11)),0)</f>
        <v>0</v>
      </c>
      <c r="S183" s="32">
        <f>IFERROR(IF(StaffPayroll[[#This Row],[Annual Cost of Wage Increase included in Rate Adjustment]]=0,0,IF('Facility Info Input'!$F$12&lt;=0,0,P183*'Facility Info Input'!$F$12)),0)</f>
        <v>0</v>
      </c>
      <c r="T183" s="32">
        <f t="shared" si="4"/>
        <v>0</v>
      </c>
      <c r="U183" s="33">
        <f t="shared" si="5"/>
        <v>0</v>
      </c>
    </row>
    <row r="184" spans="1:21">
      <c r="A184" s="76"/>
      <c r="B184" s="77"/>
      <c r="C184" s="81"/>
      <c r="D184" s="82"/>
      <c r="E184" s="82"/>
      <c r="F184" s="83"/>
      <c r="G184" s="84"/>
      <c r="H184" s="85"/>
      <c r="I184" s="71" t="e">
        <f>#REF!&amp;" "&amp;StaffPayroll[[#This Row],[Employee ID Number / Code]]</f>
        <v>#REF!</v>
      </c>
      <c r="J184" s="71" t="str">
        <f>_xlfn.IFNA(VLOOKUP(StaffPayroll[[#This Row],[Position / Title]],Lists!A:C,3,FALSE),"")</f>
        <v/>
      </c>
      <c r="K184" s="71">
        <f>StaffPayroll[[#This Row],[Payroll Period Ends Date (Minimum two months)]]-StaffPayroll[[#This Row],[Payroll Period Begins Date        (Must start after 6/1/2025)]]+1</f>
        <v>1</v>
      </c>
      <c r="L184" s="38">
        <f>IFERROR(IF(VLOOKUP(J184,'Facility Info Input'!$B$25:$D$34,3,FALSE)="",1,VLOOKUP(J184,'Facility Info Input'!$B$25:$D$34,3,FALSE)),0)</f>
        <v>0</v>
      </c>
      <c r="M184" s="22" t="str">
        <f>IF(StaffPayroll[[#This Row],[Employee ID Number / Code]]="","",IF(StaffPayroll[[#This Row],[Position / Title]]="","",VLOOKUP(StaffPayroll[[#This Row],[Position / Title]],Lists!A:C,2,FALSE)))</f>
        <v/>
      </c>
      <c r="N184" s="22">
        <f>IF(C184="",0,StaffPayroll[[#This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4" s="31">
        <f>IF(StaffPayroll[[#This Row],[Hourly WSB  Wage Minimum]]="",0,StaffPayroll[[#This Row],[Annual NF Wage Costs after WSB Minimum]]-StaffPayroll[[#This Row],[Annual NF Wage Costs before WSB Minimum]])</f>
        <v>0</v>
      </c>
      <c r="Q184" s="31">
        <f>IFERROR(IF(StaffPayroll[[#This Row],[Annual Cost of Wage Increase included in Rate Adjustment]]=0,0,P184*'Facility Info Input'!$F$10),0)</f>
        <v>0</v>
      </c>
      <c r="R184" s="32">
        <f>IFERROR(IF(StaffPayroll[[#This Row],[Annual Cost of Wage Increase included in Rate Adjustment]]=0,0,IF('Facility Info Input'!$F$11&lt;=0,0,P184*'Facility Info Input'!$F$11)),0)</f>
        <v>0</v>
      </c>
      <c r="S184" s="32">
        <f>IFERROR(IF(StaffPayroll[[#This Row],[Annual Cost of Wage Increase included in Rate Adjustment]]=0,0,IF('Facility Info Input'!$F$12&lt;=0,0,P184*'Facility Info Input'!$F$12)),0)</f>
        <v>0</v>
      </c>
      <c r="T184" s="32">
        <f t="shared" si="4"/>
        <v>0</v>
      </c>
      <c r="U184" s="33">
        <f t="shared" si="5"/>
        <v>0</v>
      </c>
    </row>
    <row r="185" spans="1:21">
      <c r="A185" s="76"/>
      <c r="B185" s="77"/>
      <c r="C185" s="81"/>
      <c r="D185" s="82"/>
      <c r="E185" s="82"/>
      <c r="F185" s="83"/>
      <c r="G185" s="84"/>
      <c r="H185" s="85"/>
      <c r="I185" s="71" t="e">
        <f>#REF!&amp;" "&amp;StaffPayroll[[#This Row],[Employee ID Number / Code]]</f>
        <v>#REF!</v>
      </c>
      <c r="J185" s="71" t="str">
        <f>_xlfn.IFNA(VLOOKUP(StaffPayroll[[#This Row],[Position / Title]],Lists!A:C,3,FALSE),"")</f>
        <v/>
      </c>
      <c r="K185" s="71">
        <f>StaffPayroll[[#This Row],[Payroll Period Ends Date (Minimum two months)]]-StaffPayroll[[#This Row],[Payroll Period Begins Date        (Must start after 6/1/2025)]]+1</f>
        <v>1</v>
      </c>
      <c r="L185" s="38">
        <f>IFERROR(IF(VLOOKUP(J185,'Facility Info Input'!$B$25:$D$34,3,FALSE)="",1,VLOOKUP(J185,'Facility Info Input'!$B$25:$D$34,3,FALSE)),0)</f>
        <v>0</v>
      </c>
      <c r="M185" s="22" t="str">
        <f>IF(StaffPayroll[[#This Row],[Employee ID Number / Code]]="","",IF(StaffPayroll[[#This Row],[Position / Title]]="","",VLOOKUP(StaffPayroll[[#This Row],[Position / Title]],Lists!A:C,2,FALSE)))</f>
        <v/>
      </c>
      <c r="N185" s="22">
        <f>IF(C185="",0,StaffPayroll[[#This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5" s="31">
        <f>IF(StaffPayroll[[#This Row],[Hourly WSB  Wage Minimum]]="",0,StaffPayroll[[#This Row],[Annual NF Wage Costs after WSB Minimum]]-StaffPayroll[[#This Row],[Annual NF Wage Costs before WSB Minimum]])</f>
        <v>0</v>
      </c>
      <c r="Q185" s="31">
        <f>IFERROR(IF(StaffPayroll[[#This Row],[Annual Cost of Wage Increase included in Rate Adjustment]]=0,0,P185*'Facility Info Input'!$F$10),0)</f>
        <v>0</v>
      </c>
      <c r="R185" s="32">
        <f>IFERROR(IF(StaffPayroll[[#This Row],[Annual Cost of Wage Increase included in Rate Adjustment]]=0,0,IF('Facility Info Input'!$F$11&lt;=0,0,P185*'Facility Info Input'!$F$11)),0)</f>
        <v>0</v>
      </c>
      <c r="S185" s="32">
        <f>IFERROR(IF(StaffPayroll[[#This Row],[Annual Cost of Wage Increase included in Rate Adjustment]]=0,0,IF('Facility Info Input'!$F$12&lt;=0,0,P185*'Facility Info Input'!$F$12)),0)</f>
        <v>0</v>
      </c>
      <c r="T185" s="32">
        <f t="shared" si="4"/>
        <v>0</v>
      </c>
      <c r="U185" s="33">
        <f t="shared" si="5"/>
        <v>0</v>
      </c>
    </row>
    <row r="186" spans="1:21">
      <c r="A186" s="76"/>
      <c r="B186" s="77"/>
      <c r="C186" s="81"/>
      <c r="D186" s="82"/>
      <c r="E186" s="82"/>
      <c r="F186" s="83"/>
      <c r="G186" s="84"/>
      <c r="H186" s="85"/>
      <c r="I186" s="71" t="e">
        <f>#REF!&amp;" "&amp;StaffPayroll[[#This Row],[Employee ID Number / Code]]</f>
        <v>#REF!</v>
      </c>
      <c r="J186" s="71" t="str">
        <f>_xlfn.IFNA(VLOOKUP(StaffPayroll[[#This Row],[Position / Title]],Lists!A:C,3,FALSE),"")</f>
        <v/>
      </c>
      <c r="K186" s="71">
        <f>StaffPayroll[[#This Row],[Payroll Period Ends Date (Minimum two months)]]-StaffPayroll[[#This Row],[Payroll Period Begins Date        (Must start after 6/1/2025)]]+1</f>
        <v>1</v>
      </c>
      <c r="L186" s="38">
        <f>IFERROR(IF(VLOOKUP(J186,'Facility Info Input'!$B$25:$D$34,3,FALSE)="",1,VLOOKUP(J186,'Facility Info Input'!$B$25:$D$34,3,FALSE)),0)</f>
        <v>0</v>
      </c>
      <c r="M186" s="22" t="str">
        <f>IF(StaffPayroll[[#This Row],[Employee ID Number / Code]]="","",IF(StaffPayroll[[#This Row],[Position / Title]]="","",VLOOKUP(StaffPayroll[[#This Row],[Position / Title]],Lists!A:C,2,FALSE)))</f>
        <v/>
      </c>
      <c r="N186" s="22">
        <f>IF(C186="",0,StaffPayroll[[#This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6" s="31">
        <f>IF(StaffPayroll[[#This Row],[Hourly WSB  Wage Minimum]]="",0,StaffPayroll[[#This Row],[Annual NF Wage Costs after WSB Minimum]]-StaffPayroll[[#This Row],[Annual NF Wage Costs before WSB Minimum]])</f>
        <v>0</v>
      </c>
      <c r="Q186" s="31">
        <f>IFERROR(IF(StaffPayroll[[#This Row],[Annual Cost of Wage Increase included in Rate Adjustment]]=0,0,P186*'Facility Info Input'!$F$10),0)</f>
        <v>0</v>
      </c>
      <c r="R186" s="32">
        <f>IFERROR(IF(StaffPayroll[[#This Row],[Annual Cost of Wage Increase included in Rate Adjustment]]=0,0,IF('Facility Info Input'!$F$11&lt;=0,0,P186*'Facility Info Input'!$F$11)),0)</f>
        <v>0</v>
      </c>
      <c r="S186" s="32">
        <f>IFERROR(IF(StaffPayroll[[#This Row],[Annual Cost of Wage Increase included in Rate Adjustment]]=0,0,IF('Facility Info Input'!$F$12&lt;=0,0,P186*'Facility Info Input'!$F$12)),0)</f>
        <v>0</v>
      </c>
      <c r="T186" s="32">
        <f t="shared" si="4"/>
        <v>0</v>
      </c>
      <c r="U186" s="33">
        <f t="shared" si="5"/>
        <v>0</v>
      </c>
    </row>
    <row r="187" spans="1:21">
      <c r="A187" s="76"/>
      <c r="B187" s="77"/>
      <c r="C187" s="81"/>
      <c r="D187" s="82"/>
      <c r="E187" s="82"/>
      <c r="F187" s="83"/>
      <c r="G187" s="84"/>
      <c r="H187" s="85"/>
      <c r="I187" s="71" t="e">
        <f>#REF!&amp;" "&amp;StaffPayroll[[#This Row],[Employee ID Number / Code]]</f>
        <v>#REF!</v>
      </c>
      <c r="J187" s="71" t="str">
        <f>_xlfn.IFNA(VLOOKUP(StaffPayroll[[#This Row],[Position / Title]],Lists!A:C,3,FALSE),"")</f>
        <v/>
      </c>
      <c r="K187" s="71">
        <f>StaffPayroll[[#This Row],[Payroll Period Ends Date (Minimum two months)]]-StaffPayroll[[#This Row],[Payroll Period Begins Date        (Must start after 6/1/2025)]]+1</f>
        <v>1</v>
      </c>
      <c r="L187" s="38">
        <f>IFERROR(IF(VLOOKUP(J187,'Facility Info Input'!$B$25:$D$34,3,FALSE)="",1,VLOOKUP(J187,'Facility Info Input'!$B$25:$D$34,3,FALSE)),0)</f>
        <v>0</v>
      </c>
      <c r="M187" s="22" t="str">
        <f>IF(StaffPayroll[[#This Row],[Employee ID Number / Code]]="","",IF(StaffPayroll[[#This Row],[Position / Title]]="","",VLOOKUP(StaffPayroll[[#This Row],[Position / Title]],Lists!A:C,2,FALSE)))</f>
        <v/>
      </c>
      <c r="N187" s="22">
        <f>IF(C187="",0,StaffPayroll[[#This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7" s="31">
        <f>IF(StaffPayroll[[#This Row],[Hourly WSB  Wage Minimum]]="",0,StaffPayroll[[#This Row],[Annual NF Wage Costs after WSB Minimum]]-StaffPayroll[[#This Row],[Annual NF Wage Costs before WSB Minimum]])</f>
        <v>0</v>
      </c>
      <c r="Q187" s="31">
        <f>IFERROR(IF(StaffPayroll[[#This Row],[Annual Cost of Wage Increase included in Rate Adjustment]]=0,0,P187*'Facility Info Input'!$F$10),0)</f>
        <v>0</v>
      </c>
      <c r="R187" s="32">
        <f>IFERROR(IF(StaffPayroll[[#This Row],[Annual Cost of Wage Increase included in Rate Adjustment]]=0,0,IF('Facility Info Input'!$F$11&lt;=0,0,P187*'Facility Info Input'!$F$11)),0)</f>
        <v>0</v>
      </c>
      <c r="S187" s="32">
        <f>IFERROR(IF(StaffPayroll[[#This Row],[Annual Cost of Wage Increase included in Rate Adjustment]]=0,0,IF('Facility Info Input'!$F$12&lt;=0,0,P187*'Facility Info Input'!$F$12)),0)</f>
        <v>0</v>
      </c>
      <c r="T187" s="32">
        <f t="shared" si="4"/>
        <v>0</v>
      </c>
      <c r="U187" s="33">
        <f t="shared" si="5"/>
        <v>0</v>
      </c>
    </row>
    <row r="188" spans="1:21">
      <c r="A188" s="76"/>
      <c r="B188" s="77"/>
      <c r="C188" s="81"/>
      <c r="D188" s="82"/>
      <c r="E188" s="82"/>
      <c r="F188" s="83"/>
      <c r="G188" s="84"/>
      <c r="H188" s="85"/>
      <c r="I188" s="71" t="e">
        <f>#REF!&amp;" "&amp;StaffPayroll[[#This Row],[Employee ID Number / Code]]</f>
        <v>#REF!</v>
      </c>
      <c r="J188" s="71" t="str">
        <f>_xlfn.IFNA(VLOOKUP(StaffPayroll[[#This Row],[Position / Title]],Lists!A:C,3,FALSE),"")</f>
        <v/>
      </c>
      <c r="K188" s="71">
        <f>StaffPayroll[[#This Row],[Payroll Period Ends Date (Minimum two months)]]-StaffPayroll[[#This Row],[Payroll Period Begins Date        (Must start after 6/1/2025)]]+1</f>
        <v>1</v>
      </c>
      <c r="L188" s="38">
        <f>IFERROR(IF(VLOOKUP(J188,'Facility Info Input'!$B$25:$D$34,3,FALSE)="",1,VLOOKUP(J188,'Facility Info Input'!$B$25:$D$34,3,FALSE)),0)</f>
        <v>0</v>
      </c>
      <c r="M188" s="22" t="str">
        <f>IF(StaffPayroll[[#This Row],[Employee ID Number / Code]]="","",IF(StaffPayroll[[#This Row],[Position / Title]]="","",VLOOKUP(StaffPayroll[[#This Row],[Position / Title]],Lists!A:C,2,FALSE)))</f>
        <v/>
      </c>
      <c r="N188" s="22">
        <f>IF(C188="",0,StaffPayroll[[#This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8" s="31">
        <f>IF(StaffPayroll[[#This Row],[Hourly WSB  Wage Minimum]]="",0,StaffPayroll[[#This Row],[Annual NF Wage Costs after WSB Minimum]]-StaffPayroll[[#This Row],[Annual NF Wage Costs before WSB Minimum]])</f>
        <v>0</v>
      </c>
      <c r="Q188" s="31">
        <f>IFERROR(IF(StaffPayroll[[#This Row],[Annual Cost of Wage Increase included in Rate Adjustment]]=0,0,P188*'Facility Info Input'!$F$10),0)</f>
        <v>0</v>
      </c>
      <c r="R188" s="32">
        <f>IFERROR(IF(StaffPayroll[[#This Row],[Annual Cost of Wage Increase included in Rate Adjustment]]=0,0,IF('Facility Info Input'!$F$11&lt;=0,0,P188*'Facility Info Input'!$F$11)),0)</f>
        <v>0</v>
      </c>
      <c r="S188" s="32">
        <f>IFERROR(IF(StaffPayroll[[#This Row],[Annual Cost of Wage Increase included in Rate Adjustment]]=0,0,IF('Facility Info Input'!$F$12&lt;=0,0,P188*'Facility Info Input'!$F$12)),0)</f>
        <v>0</v>
      </c>
      <c r="T188" s="32">
        <f t="shared" si="4"/>
        <v>0</v>
      </c>
      <c r="U188" s="33">
        <f t="shared" si="5"/>
        <v>0</v>
      </c>
    </row>
    <row r="189" spans="1:21">
      <c r="A189" s="76"/>
      <c r="B189" s="77"/>
      <c r="C189" s="81"/>
      <c r="D189" s="82"/>
      <c r="E189" s="82"/>
      <c r="F189" s="83"/>
      <c r="G189" s="84"/>
      <c r="H189" s="85"/>
      <c r="I189" s="71" t="e">
        <f>#REF!&amp;" "&amp;StaffPayroll[[#This Row],[Employee ID Number / Code]]</f>
        <v>#REF!</v>
      </c>
      <c r="J189" s="71" t="str">
        <f>_xlfn.IFNA(VLOOKUP(StaffPayroll[[#This Row],[Position / Title]],Lists!A:C,3,FALSE),"")</f>
        <v/>
      </c>
      <c r="K189" s="71">
        <f>StaffPayroll[[#This Row],[Payroll Period Ends Date (Minimum two months)]]-StaffPayroll[[#This Row],[Payroll Period Begins Date        (Must start after 6/1/2025)]]+1</f>
        <v>1</v>
      </c>
      <c r="L189" s="38">
        <f>IFERROR(IF(VLOOKUP(J189,'Facility Info Input'!$B$25:$D$34,3,FALSE)="",1,VLOOKUP(J189,'Facility Info Input'!$B$25:$D$34,3,FALSE)),0)</f>
        <v>0</v>
      </c>
      <c r="M189" s="22" t="str">
        <f>IF(StaffPayroll[[#This Row],[Employee ID Number / Code]]="","",IF(StaffPayroll[[#This Row],[Position / Title]]="","",VLOOKUP(StaffPayroll[[#This Row],[Position / Title]],Lists!A:C,2,FALSE)))</f>
        <v/>
      </c>
      <c r="N189" s="22">
        <f>IF(C189="",0,StaffPayroll[[#This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8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89" s="31">
        <f>IF(StaffPayroll[[#This Row],[Hourly WSB  Wage Minimum]]="",0,StaffPayroll[[#This Row],[Annual NF Wage Costs after WSB Minimum]]-StaffPayroll[[#This Row],[Annual NF Wage Costs before WSB Minimum]])</f>
        <v>0</v>
      </c>
      <c r="Q189" s="31">
        <f>IFERROR(IF(StaffPayroll[[#This Row],[Annual Cost of Wage Increase included in Rate Adjustment]]=0,0,P189*'Facility Info Input'!$F$10),0)</f>
        <v>0</v>
      </c>
      <c r="R189" s="32">
        <f>IFERROR(IF(StaffPayroll[[#This Row],[Annual Cost of Wage Increase included in Rate Adjustment]]=0,0,IF('Facility Info Input'!$F$11&lt;=0,0,P189*'Facility Info Input'!$F$11)),0)</f>
        <v>0</v>
      </c>
      <c r="S189" s="32">
        <f>IFERROR(IF(StaffPayroll[[#This Row],[Annual Cost of Wage Increase included in Rate Adjustment]]=0,0,IF('Facility Info Input'!$F$12&lt;=0,0,P189*'Facility Info Input'!$F$12)),0)</f>
        <v>0</v>
      </c>
      <c r="T189" s="32">
        <f t="shared" si="4"/>
        <v>0</v>
      </c>
      <c r="U189" s="33">
        <f t="shared" si="5"/>
        <v>0</v>
      </c>
    </row>
    <row r="190" spans="1:21">
      <c r="A190" s="76"/>
      <c r="B190" s="77"/>
      <c r="C190" s="81"/>
      <c r="D190" s="82"/>
      <c r="E190" s="82"/>
      <c r="F190" s="83"/>
      <c r="G190" s="84"/>
      <c r="H190" s="85"/>
      <c r="I190" s="71" t="e">
        <f>#REF!&amp;" "&amp;StaffPayroll[[#This Row],[Employee ID Number / Code]]</f>
        <v>#REF!</v>
      </c>
      <c r="J190" s="71" t="str">
        <f>_xlfn.IFNA(VLOOKUP(StaffPayroll[[#This Row],[Position / Title]],Lists!A:C,3,FALSE),"")</f>
        <v/>
      </c>
      <c r="K190" s="71">
        <f>StaffPayroll[[#This Row],[Payroll Period Ends Date (Minimum two months)]]-StaffPayroll[[#This Row],[Payroll Period Begins Date        (Must start after 6/1/2025)]]+1</f>
        <v>1</v>
      </c>
      <c r="L190" s="38">
        <f>IFERROR(IF(VLOOKUP(J190,'Facility Info Input'!$B$25:$D$34,3,FALSE)="",1,VLOOKUP(J190,'Facility Info Input'!$B$25:$D$34,3,FALSE)),0)</f>
        <v>0</v>
      </c>
      <c r="M190" s="22" t="str">
        <f>IF(StaffPayroll[[#This Row],[Employee ID Number / Code]]="","",IF(StaffPayroll[[#This Row],[Position / Title]]="","",VLOOKUP(StaffPayroll[[#This Row],[Position / Title]],Lists!A:C,2,FALSE)))</f>
        <v/>
      </c>
      <c r="N190" s="22">
        <f>IF(C190="",0,StaffPayroll[[#This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0" s="31">
        <f>IF(StaffPayroll[[#This Row],[Hourly WSB  Wage Minimum]]="",0,StaffPayroll[[#This Row],[Annual NF Wage Costs after WSB Minimum]]-StaffPayroll[[#This Row],[Annual NF Wage Costs before WSB Minimum]])</f>
        <v>0</v>
      </c>
      <c r="Q190" s="31">
        <f>IFERROR(IF(StaffPayroll[[#This Row],[Annual Cost of Wage Increase included in Rate Adjustment]]=0,0,P190*'Facility Info Input'!$F$10),0)</f>
        <v>0</v>
      </c>
      <c r="R190" s="32">
        <f>IFERROR(IF(StaffPayroll[[#This Row],[Annual Cost of Wage Increase included in Rate Adjustment]]=0,0,IF('Facility Info Input'!$F$11&lt;=0,0,P190*'Facility Info Input'!$F$11)),0)</f>
        <v>0</v>
      </c>
      <c r="S190" s="32">
        <f>IFERROR(IF(StaffPayroll[[#This Row],[Annual Cost of Wage Increase included in Rate Adjustment]]=0,0,IF('Facility Info Input'!$F$12&lt;=0,0,P190*'Facility Info Input'!$F$12)),0)</f>
        <v>0</v>
      </c>
      <c r="T190" s="32">
        <f t="shared" si="4"/>
        <v>0</v>
      </c>
      <c r="U190" s="33">
        <f t="shared" si="5"/>
        <v>0</v>
      </c>
    </row>
    <row r="191" spans="1:21">
      <c r="A191" s="76"/>
      <c r="B191" s="77"/>
      <c r="C191" s="81"/>
      <c r="D191" s="82"/>
      <c r="E191" s="82"/>
      <c r="F191" s="83"/>
      <c r="G191" s="84"/>
      <c r="H191" s="85"/>
      <c r="I191" s="71" t="e">
        <f>#REF!&amp;" "&amp;StaffPayroll[[#This Row],[Employee ID Number / Code]]</f>
        <v>#REF!</v>
      </c>
      <c r="J191" s="71" t="str">
        <f>_xlfn.IFNA(VLOOKUP(StaffPayroll[[#This Row],[Position / Title]],Lists!A:C,3,FALSE),"")</f>
        <v/>
      </c>
      <c r="K191" s="71">
        <f>StaffPayroll[[#This Row],[Payroll Period Ends Date (Minimum two months)]]-StaffPayroll[[#This Row],[Payroll Period Begins Date        (Must start after 6/1/2025)]]+1</f>
        <v>1</v>
      </c>
      <c r="L191" s="38">
        <f>IFERROR(IF(VLOOKUP(J191,'Facility Info Input'!$B$25:$D$34,3,FALSE)="",1,VLOOKUP(J191,'Facility Info Input'!$B$25:$D$34,3,FALSE)),0)</f>
        <v>0</v>
      </c>
      <c r="M191" s="22" t="str">
        <f>IF(StaffPayroll[[#This Row],[Employee ID Number / Code]]="","",IF(StaffPayroll[[#This Row],[Position / Title]]="","",VLOOKUP(StaffPayroll[[#This Row],[Position / Title]],Lists!A:C,2,FALSE)))</f>
        <v/>
      </c>
      <c r="N191" s="22">
        <f>IF(C191="",0,StaffPayroll[[#This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1" s="31">
        <f>IF(StaffPayroll[[#This Row],[Hourly WSB  Wage Minimum]]="",0,StaffPayroll[[#This Row],[Annual NF Wage Costs after WSB Minimum]]-StaffPayroll[[#This Row],[Annual NF Wage Costs before WSB Minimum]])</f>
        <v>0</v>
      </c>
      <c r="Q191" s="31">
        <f>IFERROR(IF(StaffPayroll[[#This Row],[Annual Cost of Wage Increase included in Rate Adjustment]]=0,0,P191*'Facility Info Input'!$F$10),0)</f>
        <v>0</v>
      </c>
      <c r="R191" s="32">
        <f>IFERROR(IF(StaffPayroll[[#This Row],[Annual Cost of Wage Increase included in Rate Adjustment]]=0,0,IF('Facility Info Input'!$F$11&lt;=0,0,P191*'Facility Info Input'!$F$11)),0)</f>
        <v>0</v>
      </c>
      <c r="S191" s="32">
        <f>IFERROR(IF(StaffPayroll[[#This Row],[Annual Cost of Wage Increase included in Rate Adjustment]]=0,0,IF('Facility Info Input'!$F$12&lt;=0,0,P191*'Facility Info Input'!$F$12)),0)</f>
        <v>0</v>
      </c>
      <c r="T191" s="32">
        <f t="shared" si="4"/>
        <v>0</v>
      </c>
      <c r="U191" s="33">
        <f t="shared" si="5"/>
        <v>0</v>
      </c>
    </row>
    <row r="192" spans="1:21">
      <c r="A192" s="76"/>
      <c r="B192" s="77"/>
      <c r="C192" s="81"/>
      <c r="D192" s="82"/>
      <c r="E192" s="82"/>
      <c r="F192" s="83"/>
      <c r="G192" s="84"/>
      <c r="H192" s="85"/>
      <c r="I192" s="71" t="e">
        <f>#REF!&amp;" "&amp;StaffPayroll[[#This Row],[Employee ID Number / Code]]</f>
        <v>#REF!</v>
      </c>
      <c r="J192" s="71" t="str">
        <f>_xlfn.IFNA(VLOOKUP(StaffPayroll[[#This Row],[Position / Title]],Lists!A:C,3,FALSE),"")</f>
        <v/>
      </c>
      <c r="K192" s="71">
        <f>StaffPayroll[[#This Row],[Payroll Period Ends Date (Minimum two months)]]-StaffPayroll[[#This Row],[Payroll Period Begins Date        (Must start after 6/1/2025)]]+1</f>
        <v>1</v>
      </c>
      <c r="L192" s="38">
        <f>IFERROR(IF(VLOOKUP(J192,'Facility Info Input'!$B$25:$D$34,3,FALSE)="",1,VLOOKUP(J192,'Facility Info Input'!$B$25:$D$34,3,FALSE)),0)</f>
        <v>0</v>
      </c>
      <c r="M192" s="22" t="str">
        <f>IF(StaffPayroll[[#This Row],[Employee ID Number / Code]]="","",IF(StaffPayroll[[#This Row],[Position / Title]]="","",VLOOKUP(StaffPayroll[[#This Row],[Position / Title]],Lists!A:C,2,FALSE)))</f>
        <v/>
      </c>
      <c r="N192" s="22">
        <f>IF(C192="",0,StaffPayroll[[#This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2" s="31">
        <f>IF(StaffPayroll[[#This Row],[Hourly WSB  Wage Minimum]]="",0,StaffPayroll[[#This Row],[Annual NF Wage Costs after WSB Minimum]]-StaffPayroll[[#This Row],[Annual NF Wage Costs before WSB Minimum]])</f>
        <v>0</v>
      </c>
      <c r="Q192" s="31">
        <f>IFERROR(IF(StaffPayroll[[#This Row],[Annual Cost of Wage Increase included in Rate Adjustment]]=0,0,P192*'Facility Info Input'!$F$10),0)</f>
        <v>0</v>
      </c>
      <c r="R192" s="32">
        <f>IFERROR(IF(StaffPayroll[[#This Row],[Annual Cost of Wage Increase included in Rate Adjustment]]=0,0,IF('Facility Info Input'!$F$11&lt;=0,0,P192*'Facility Info Input'!$F$11)),0)</f>
        <v>0</v>
      </c>
      <c r="S192" s="32">
        <f>IFERROR(IF(StaffPayroll[[#This Row],[Annual Cost of Wage Increase included in Rate Adjustment]]=0,0,IF('Facility Info Input'!$F$12&lt;=0,0,P192*'Facility Info Input'!$F$12)),0)</f>
        <v>0</v>
      </c>
      <c r="T192" s="32">
        <f t="shared" si="4"/>
        <v>0</v>
      </c>
      <c r="U192" s="33">
        <f t="shared" si="5"/>
        <v>0</v>
      </c>
    </row>
    <row r="193" spans="1:21">
      <c r="A193" s="76"/>
      <c r="B193" s="77"/>
      <c r="C193" s="81"/>
      <c r="D193" s="82"/>
      <c r="E193" s="82"/>
      <c r="F193" s="83"/>
      <c r="G193" s="84"/>
      <c r="H193" s="85"/>
      <c r="I193" s="71" t="e">
        <f>#REF!&amp;" "&amp;StaffPayroll[[#This Row],[Employee ID Number / Code]]</f>
        <v>#REF!</v>
      </c>
      <c r="J193" s="71" t="str">
        <f>_xlfn.IFNA(VLOOKUP(StaffPayroll[[#This Row],[Position / Title]],Lists!A:C,3,FALSE),"")</f>
        <v/>
      </c>
      <c r="K193" s="71">
        <f>StaffPayroll[[#This Row],[Payroll Period Ends Date (Minimum two months)]]-StaffPayroll[[#This Row],[Payroll Period Begins Date        (Must start after 6/1/2025)]]+1</f>
        <v>1</v>
      </c>
      <c r="L193" s="38">
        <f>IFERROR(IF(VLOOKUP(J193,'Facility Info Input'!$B$25:$D$34,3,FALSE)="",1,VLOOKUP(J193,'Facility Info Input'!$B$25:$D$34,3,FALSE)),0)</f>
        <v>0</v>
      </c>
      <c r="M193" s="22" t="str">
        <f>IF(StaffPayroll[[#This Row],[Employee ID Number / Code]]="","",IF(StaffPayroll[[#This Row],[Position / Title]]="","",VLOOKUP(StaffPayroll[[#This Row],[Position / Title]],Lists!A:C,2,FALSE)))</f>
        <v/>
      </c>
      <c r="N193" s="22">
        <f>IF(C193="",0,StaffPayroll[[#This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3" s="31">
        <f>IF(StaffPayroll[[#This Row],[Hourly WSB  Wage Minimum]]="",0,StaffPayroll[[#This Row],[Annual NF Wage Costs after WSB Minimum]]-StaffPayroll[[#This Row],[Annual NF Wage Costs before WSB Minimum]])</f>
        <v>0</v>
      </c>
      <c r="Q193" s="31">
        <f>IFERROR(IF(StaffPayroll[[#This Row],[Annual Cost of Wage Increase included in Rate Adjustment]]=0,0,P193*'Facility Info Input'!$F$10),0)</f>
        <v>0</v>
      </c>
      <c r="R193" s="32">
        <f>IFERROR(IF(StaffPayroll[[#This Row],[Annual Cost of Wage Increase included in Rate Adjustment]]=0,0,IF('Facility Info Input'!$F$11&lt;=0,0,P193*'Facility Info Input'!$F$11)),0)</f>
        <v>0</v>
      </c>
      <c r="S193" s="32">
        <f>IFERROR(IF(StaffPayroll[[#This Row],[Annual Cost of Wage Increase included in Rate Adjustment]]=0,0,IF('Facility Info Input'!$F$12&lt;=0,0,P193*'Facility Info Input'!$F$12)),0)</f>
        <v>0</v>
      </c>
      <c r="T193" s="32">
        <f t="shared" si="4"/>
        <v>0</v>
      </c>
      <c r="U193" s="33">
        <f t="shared" si="5"/>
        <v>0</v>
      </c>
    </row>
    <row r="194" spans="1:21">
      <c r="A194" s="76"/>
      <c r="B194" s="77"/>
      <c r="C194" s="81"/>
      <c r="D194" s="82"/>
      <c r="E194" s="82"/>
      <c r="F194" s="83"/>
      <c r="G194" s="84"/>
      <c r="H194" s="85"/>
      <c r="I194" s="71" t="e">
        <f>#REF!&amp;" "&amp;StaffPayroll[[#This Row],[Employee ID Number / Code]]</f>
        <v>#REF!</v>
      </c>
      <c r="J194" s="71" t="str">
        <f>_xlfn.IFNA(VLOOKUP(StaffPayroll[[#This Row],[Position / Title]],Lists!A:C,3,FALSE),"")</f>
        <v/>
      </c>
      <c r="K194" s="71">
        <f>StaffPayroll[[#This Row],[Payroll Period Ends Date (Minimum two months)]]-StaffPayroll[[#This Row],[Payroll Period Begins Date        (Must start after 6/1/2025)]]+1</f>
        <v>1</v>
      </c>
      <c r="L194" s="38">
        <f>IFERROR(IF(VLOOKUP(J194,'Facility Info Input'!$B$25:$D$34,3,FALSE)="",1,VLOOKUP(J194,'Facility Info Input'!$B$25:$D$34,3,FALSE)),0)</f>
        <v>0</v>
      </c>
      <c r="M194" s="22" t="str">
        <f>IF(StaffPayroll[[#This Row],[Employee ID Number / Code]]="","",IF(StaffPayroll[[#This Row],[Position / Title]]="","",VLOOKUP(StaffPayroll[[#This Row],[Position / Title]],Lists!A:C,2,FALSE)))</f>
        <v/>
      </c>
      <c r="N194" s="22">
        <f>IF(C194="",0,StaffPayroll[[#This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4" s="31">
        <f>IF(StaffPayroll[[#This Row],[Hourly WSB  Wage Minimum]]="",0,StaffPayroll[[#This Row],[Annual NF Wage Costs after WSB Minimum]]-StaffPayroll[[#This Row],[Annual NF Wage Costs before WSB Minimum]])</f>
        <v>0</v>
      </c>
      <c r="Q194" s="31">
        <f>IFERROR(IF(StaffPayroll[[#This Row],[Annual Cost of Wage Increase included in Rate Adjustment]]=0,0,P194*'Facility Info Input'!$F$10),0)</f>
        <v>0</v>
      </c>
      <c r="R194" s="32">
        <f>IFERROR(IF(StaffPayroll[[#This Row],[Annual Cost of Wage Increase included in Rate Adjustment]]=0,0,IF('Facility Info Input'!$F$11&lt;=0,0,P194*'Facility Info Input'!$F$11)),0)</f>
        <v>0</v>
      </c>
      <c r="S194" s="32">
        <f>IFERROR(IF(StaffPayroll[[#This Row],[Annual Cost of Wage Increase included in Rate Adjustment]]=0,0,IF('Facility Info Input'!$F$12&lt;=0,0,P194*'Facility Info Input'!$F$12)),0)</f>
        <v>0</v>
      </c>
      <c r="T194" s="32">
        <f t="shared" ref="T194:T257" si="6">IFERROR(IF(G194="Yes",H194*P194,0),0)</f>
        <v>0</v>
      </c>
      <c r="U194" s="33">
        <f t="shared" si="5"/>
        <v>0</v>
      </c>
    </row>
    <row r="195" spans="1:21">
      <c r="A195" s="76"/>
      <c r="B195" s="77"/>
      <c r="C195" s="81"/>
      <c r="D195" s="82"/>
      <c r="E195" s="82"/>
      <c r="F195" s="83"/>
      <c r="G195" s="84"/>
      <c r="H195" s="85"/>
      <c r="I195" s="71" t="e">
        <f>#REF!&amp;" "&amp;StaffPayroll[[#This Row],[Employee ID Number / Code]]</f>
        <v>#REF!</v>
      </c>
      <c r="J195" s="71" t="str">
        <f>_xlfn.IFNA(VLOOKUP(StaffPayroll[[#This Row],[Position / Title]],Lists!A:C,3,FALSE),"")</f>
        <v/>
      </c>
      <c r="K195" s="71">
        <f>StaffPayroll[[#This Row],[Payroll Period Ends Date (Minimum two months)]]-StaffPayroll[[#This Row],[Payroll Period Begins Date        (Must start after 6/1/2025)]]+1</f>
        <v>1</v>
      </c>
      <c r="L195" s="38">
        <f>IFERROR(IF(VLOOKUP(J195,'Facility Info Input'!$B$25:$D$34,3,FALSE)="",1,VLOOKUP(J195,'Facility Info Input'!$B$25:$D$34,3,FALSE)),0)</f>
        <v>0</v>
      </c>
      <c r="M195" s="22" t="str">
        <f>IF(StaffPayroll[[#This Row],[Employee ID Number / Code]]="","",IF(StaffPayroll[[#This Row],[Position / Title]]="","",VLOOKUP(StaffPayroll[[#This Row],[Position / Title]],Lists!A:C,2,FALSE)))</f>
        <v/>
      </c>
      <c r="N195" s="22">
        <f>IF(C195="",0,StaffPayroll[[#This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5" s="31">
        <f>IF(StaffPayroll[[#This Row],[Hourly WSB  Wage Minimum]]="",0,StaffPayroll[[#This Row],[Annual NF Wage Costs after WSB Minimum]]-StaffPayroll[[#This Row],[Annual NF Wage Costs before WSB Minimum]])</f>
        <v>0</v>
      </c>
      <c r="Q195" s="31">
        <f>IFERROR(IF(StaffPayroll[[#This Row],[Annual Cost of Wage Increase included in Rate Adjustment]]=0,0,P195*'Facility Info Input'!$F$10),0)</f>
        <v>0</v>
      </c>
      <c r="R195" s="32">
        <f>IFERROR(IF(StaffPayroll[[#This Row],[Annual Cost of Wage Increase included in Rate Adjustment]]=0,0,IF('Facility Info Input'!$F$11&lt;=0,0,P195*'Facility Info Input'!$F$11)),0)</f>
        <v>0</v>
      </c>
      <c r="S195" s="32">
        <f>IFERROR(IF(StaffPayroll[[#This Row],[Annual Cost of Wage Increase included in Rate Adjustment]]=0,0,IF('Facility Info Input'!$F$12&lt;=0,0,P195*'Facility Info Input'!$F$12)),0)</f>
        <v>0</v>
      </c>
      <c r="T195" s="32">
        <f t="shared" si="6"/>
        <v>0</v>
      </c>
      <c r="U195" s="33">
        <f t="shared" ref="U195:U258" si="7">IFERROR(SUM(P195:T195),0)</f>
        <v>0</v>
      </c>
    </row>
    <row r="196" spans="1:21">
      <c r="A196" s="76"/>
      <c r="B196" s="77"/>
      <c r="C196" s="81"/>
      <c r="D196" s="82"/>
      <c r="E196" s="82"/>
      <c r="F196" s="83"/>
      <c r="G196" s="84"/>
      <c r="H196" s="85"/>
      <c r="I196" s="71" t="e">
        <f>#REF!&amp;" "&amp;StaffPayroll[[#This Row],[Employee ID Number / Code]]</f>
        <v>#REF!</v>
      </c>
      <c r="J196" s="71" t="str">
        <f>_xlfn.IFNA(VLOOKUP(StaffPayroll[[#This Row],[Position / Title]],Lists!A:C,3,FALSE),"")</f>
        <v/>
      </c>
      <c r="K196" s="71">
        <f>StaffPayroll[[#This Row],[Payroll Period Ends Date (Minimum two months)]]-StaffPayroll[[#This Row],[Payroll Period Begins Date        (Must start after 6/1/2025)]]+1</f>
        <v>1</v>
      </c>
      <c r="L196" s="38">
        <f>IFERROR(IF(VLOOKUP(J196,'Facility Info Input'!$B$25:$D$34,3,FALSE)="",1,VLOOKUP(J196,'Facility Info Input'!$B$25:$D$34,3,FALSE)),0)</f>
        <v>0</v>
      </c>
      <c r="M196" s="22" t="str">
        <f>IF(StaffPayroll[[#This Row],[Employee ID Number / Code]]="","",IF(StaffPayroll[[#This Row],[Position / Title]]="","",VLOOKUP(StaffPayroll[[#This Row],[Position / Title]],Lists!A:C,2,FALSE)))</f>
        <v/>
      </c>
      <c r="N196" s="22">
        <f>IF(C196="",0,StaffPayroll[[#This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6" s="31">
        <f>IF(StaffPayroll[[#This Row],[Hourly WSB  Wage Minimum]]="",0,StaffPayroll[[#This Row],[Annual NF Wage Costs after WSB Minimum]]-StaffPayroll[[#This Row],[Annual NF Wage Costs before WSB Minimum]])</f>
        <v>0</v>
      </c>
      <c r="Q196" s="31">
        <f>IFERROR(IF(StaffPayroll[[#This Row],[Annual Cost of Wage Increase included in Rate Adjustment]]=0,0,P196*'Facility Info Input'!$F$10),0)</f>
        <v>0</v>
      </c>
      <c r="R196" s="32">
        <f>IFERROR(IF(StaffPayroll[[#This Row],[Annual Cost of Wage Increase included in Rate Adjustment]]=0,0,IF('Facility Info Input'!$F$11&lt;=0,0,P196*'Facility Info Input'!$F$11)),0)</f>
        <v>0</v>
      </c>
      <c r="S196" s="32">
        <f>IFERROR(IF(StaffPayroll[[#This Row],[Annual Cost of Wage Increase included in Rate Adjustment]]=0,0,IF('Facility Info Input'!$F$12&lt;=0,0,P196*'Facility Info Input'!$F$12)),0)</f>
        <v>0</v>
      </c>
      <c r="T196" s="32">
        <f t="shared" si="6"/>
        <v>0</v>
      </c>
      <c r="U196" s="33">
        <f t="shared" si="7"/>
        <v>0</v>
      </c>
    </row>
    <row r="197" spans="1:21">
      <c r="A197" s="76"/>
      <c r="B197" s="77"/>
      <c r="C197" s="81"/>
      <c r="D197" s="82"/>
      <c r="E197" s="82"/>
      <c r="F197" s="83"/>
      <c r="G197" s="84"/>
      <c r="H197" s="85"/>
      <c r="I197" s="71" t="e">
        <f>#REF!&amp;" "&amp;StaffPayroll[[#This Row],[Employee ID Number / Code]]</f>
        <v>#REF!</v>
      </c>
      <c r="J197" s="71" t="str">
        <f>_xlfn.IFNA(VLOOKUP(StaffPayroll[[#This Row],[Position / Title]],Lists!A:C,3,FALSE),"")</f>
        <v/>
      </c>
      <c r="K197" s="71">
        <f>StaffPayroll[[#This Row],[Payroll Period Ends Date (Minimum two months)]]-StaffPayroll[[#This Row],[Payroll Period Begins Date        (Must start after 6/1/2025)]]+1</f>
        <v>1</v>
      </c>
      <c r="L197" s="38">
        <f>IFERROR(IF(VLOOKUP(J197,'Facility Info Input'!$B$25:$D$34,3,FALSE)="",1,VLOOKUP(J197,'Facility Info Input'!$B$25:$D$34,3,FALSE)),0)</f>
        <v>0</v>
      </c>
      <c r="M197" s="22" t="str">
        <f>IF(StaffPayroll[[#This Row],[Employee ID Number / Code]]="","",IF(StaffPayroll[[#This Row],[Position / Title]]="","",VLOOKUP(StaffPayroll[[#This Row],[Position / Title]],Lists!A:C,2,FALSE)))</f>
        <v/>
      </c>
      <c r="N197" s="22">
        <f>IF(C197="",0,StaffPayroll[[#This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7" s="31">
        <f>IF(StaffPayroll[[#This Row],[Hourly WSB  Wage Minimum]]="",0,StaffPayroll[[#This Row],[Annual NF Wage Costs after WSB Minimum]]-StaffPayroll[[#This Row],[Annual NF Wage Costs before WSB Minimum]])</f>
        <v>0</v>
      </c>
      <c r="Q197" s="31">
        <f>IFERROR(IF(StaffPayroll[[#This Row],[Annual Cost of Wage Increase included in Rate Adjustment]]=0,0,P197*'Facility Info Input'!$F$10),0)</f>
        <v>0</v>
      </c>
      <c r="R197" s="32">
        <f>IFERROR(IF(StaffPayroll[[#This Row],[Annual Cost of Wage Increase included in Rate Adjustment]]=0,0,IF('Facility Info Input'!$F$11&lt;=0,0,P197*'Facility Info Input'!$F$11)),0)</f>
        <v>0</v>
      </c>
      <c r="S197" s="32">
        <f>IFERROR(IF(StaffPayroll[[#This Row],[Annual Cost of Wage Increase included in Rate Adjustment]]=0,0,IF('Facility Info Input'!$F$12&lt;=0,0,P197*'Facility Info Input'!$F$12)),0)</f>
        <v>0</v>
      </c>
      <c r="T197" s="32">
        <f t="shared" si="6"/>
        <v>0</v>
      </c>
      <c r="U197" s="33">
        <f t="shared" si="7"/>
        <v>0</v>
      </c>
    </row>
    <row r="198" spans="1:21">
      <c r="A198" s="76"/>
      <c r="B198" s="77"/>
      <c r="C198" s="81"/>
      <c r="D198" s="82"/>
      <c r="E198" s="82"/>
      <c r="F198" s="83"/>
      <c r="G198" s="84"/>
      <c r="H198" s="85"/>
      <c r="I198" s="71" t="e">
        <f>#REF!&amp;" "&amp;StaffPayroll[[#This Row],[Employee ID Number / Code]]</f>
        <v>#REF!</v>
      </c>
      <c r="J198" s="71" t="str">
        <f>_xlfn.IFNA(VLOOKUP(StaffPayroll[[#This Row],[Position / Title]],Lists!A:C,3,FALSE),"")</f>
        <v/>
      </c>
      <c r="K198" s="71">
        <f>StaffPayroll[[#This Row],[Payroll Period Ends Date (Minimum two months)]]-StaffPayroll[[#This Row],[Payroll Period Begins Date        (Must start after 6/1/2025)]]+1</f>
        <v>1</v>
      </c>
      <c r="L198" s="38">
        <f>IFERROR(IF(VLOOKUP(J198,'Facility Info Input'!$B$25:$D$34,3,FALSE)="",1,VLOOKUP(J198,'Facility Info Input'!$B$25:$D$34,3,FALSE)),0)</f>
        <v>0</v>
      </c>
      <c r="M198" s="22" t="str">
        <f>IF(StaffPayroll[[#This Row],[Employee ID Number / Code]]="","",IF(StaffPayroll[[#This Row],[Position / Title]]="","",VLOOKUP(StaffPayroll[[#This Row],[Position / Title]],Lists!A:C,2,FALSE)))</f>
        <v/>
      </c>
      <c r="N198" s="22">
        <f>IF(C198="",0,StaffPayroll[[#This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8" s="31">
        <f>IF(StaffPayroll[[#This Row],[Hourly WSB  Wage Minimum]]="",0,StaffPayroll[[#This Row],[Annual NF Wage Costs after WSB Minimum]]-StaffPayroll[[#This Row],[Annual NF Wage Costs before WSB Minimum]])</f>
        <v>0</v>
      </c>
      <c r="Q198" s="31">
        <f>IFERROR(IF(StaffPayroll[[#This Row],[Annual Cost of Wage Increase included in Rate Adjustment]]=0,0,P198*'Facility Info Input'!$F$10),0)</f>
        <v>0</v>
      </c>
      <c r="R198" s="32">
        <f>IFERROR(IF(StaffPayroll[[#This Row],[Annual Cost of Wage Increase included in Rate Adjustment]]=0,0,IF('Facility Info Input'!$F$11&lt;=0,0,P198*'Facility Info Input'!$F$11)),0)</f>
        <v>0</v>
      </c>
      <c r="S198" s="32">
        <f>IFERROR(IF(StaffPayroll[[#This Row],[Annual Cost of Wage Increase included in Rate Adjustment]]=0,0,IF('Facility Info Input'!$F$12&lt;=0,0,P198*'Facility Info Input'!$F$12)),0)</f>
        <v>0</v>
      </c>
      <c r="T198" s="32">
        <f t="shared" si="6"/>
        <v>0</v>
      </c>
      <c r="U198" s="33">
        <f t="shared" si="7"/>
        <v>0</v>
      </c>
    </row>
    <row r="199" spans="1:21">
      <c r="A199" s="76"/>
      <c r="B199" s="77"/>
      <c r="C199" s="81"/>
      <c r="D199" s="82"/>
      <c r="E199" s="82"/>
      <c r="F199" s="83"/>
      <c r="G199" s="84"/>
      <c r="H199" s="85"/>
      <c r="I199" s="71" t="e">
        <f>#REF!&amp;" "&amp;StaffPayroll[[#This Row],[Employee ID Number / Code]]</f>
        <v>#REF!</v>
      </c>
      <c r="J199" s="71" t="str">
        <f>_xlfn.IFNA(VLOOKUP(StaffPayroll[[#This Row],[Position / Title]],Lists!A:C,3,FALSE),"")</f>
        <v/>
      </c>
      <c r="K199" s="71">
        <f>StaffPayroll[[#This Row],[Payroll Period Ends Date (Minimum two months)]]-StaffPayroll[[#This Row],[Payroll Period Begins Date        (Must start after 6/1/2025)]]+1</f>
        <v>1</v>
      </c>
      <c r="L199" s="38">
        <f>IFERROR(IF(VLOOKUP(J199,'Facility Info Input'!$B$25:$D$34,3,FALSE)="",1,VLOOKUP(J199,'Facility Info Input'!$B$25:$D$34,3,FALSE)),0)</f>
        <v>0</v>
      </c>
      <c r="M199" s="22" t="str">
        <f>IF(StaffPayroll[[#This Row],[Employee ID Number / Code]]="","",IF(StaffPayroll[[#This Row],[Position / Title]]="","",VLOOKUP(StaffPayroll[[#This Row],[Position / Title]],Lists!A:C,2,FALSE)))</f>
        <v/>
      </c>
      <c r="N199" s="22">
        <f>IF(C199="",0,StaffPayroll[[#This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19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199" s="31">
        <f>IF(StaffPayroll[[#This Row],[Hourly WSB  Wage Minimum]]="",0,StaffPayroll[[#This Row],[Annual NF Wage Costs after WSB Minimum]]-StaffPayroll[[#This Row],[Annual NF Wage Costs before WSB Minimum]])</f>
        <v>0</v>
      </c>
      <c r="Q199" s="31">
        <f>IFERROR(IF(StaffPayroll[[#This Row],[Annual Cost of Wage Increase included in Rate Adjustment]]=0,0,P199*'Facility Info Input'!$F$10),0)</f>
        <v>0</v>
      </c>
      <c r="R199" s="32">
        <f>IFERROR(IF(StaffPayroll[[#This Row],[Annual Cost of Wage Increase included in Rate Adjustment]]=0,0,IF('Facility Info Input'!$F$11&lt;=0,0,P199*'Facility Info Input'!$F$11)),0)</f>
        <v>0</v>
      </c>
      <c r="S199" s="32">
        <f>IFERROR(IF(StaffPayroll[[#This Row],[Annual Cost of Wage Increase included in Rate Adjustment]]=0,0,IF('Facility Info Input'!$F$12&lt;=0,0,P199*'Facility Info Input'!$F$12)),0)</f>
        <v>0</v>
      </c>
      <c r="T199" s="32">
        <f t="shared" si="6"/>
        <v>0</v>
      </c>
      <c r="U199" s="33">
        <f t="shared" si="7"/>
        <v>0</v>
      </c>
    </row>
    <row r="200" spans="1:21">
      <c r="A200" s="76"/>
      <c r="B200" s="77"/>
      <c r="C200" s="81"/>
      <c r="D200" s="82"/>
      <c r="E200" s="82"/>
      <c r="F200" s="83"/>
      <c r="G200" s="84"/>
      <c r="H200" s="85"/>
      <c r="I200" s="71" t="e">
        <f>#REF!&amp;" "&amp;StaffPayroll[[#This Row],[Employee ID Number / Code]]</f>
        <v>#REF!</v>
      </c>
      <c r="J200" s="71" t="str">
        <f>_xlfn.IFNA(VLOOKUP(StaffPayroll[[#This Row],[Position / Title]],Lists!A:C,3,FALSE),"")</f>
        <v/>
      </c>
      <c r="K200" s="71">
        <f>StaffPayroll[[#This Row],[Payroll Period Ends Date (Minimum two months)]]-StaffPayroll[[#This Row],[Payroll Period Begins Date        (Must start after 6/1/2025)]]+1</f>
        <v>1</v>
      </c>
      <c r="L200" s="38">
        <f>IFERROR(IF(VLOOKUP(J200,'Facility Info Input'!$B$25:$D$34,3,FALSE)="",1,VLOOKUP(J200,'Facility Info Input'!$B$25:$D$34,3,FALSE)),0)</f>
        <v>0</v>
      </c>
      <c r="M200" s="22" t="str">
        <f>IF(StaffPayroll[[#This Row],[Employee ID Number / Code]]="","",IF(StaffPayroll[[#This Row],[Position / Title]]="","",VLOOKUP(StaffPayroll[[#This Row],[Position / Title]],Lists!A:C,2,FALSE)))</f>
        <v/>
      </c>
      <c r="N200" s="22">
        <f>IF(C200="",0,StaffPayroll[[#This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0" s="31">
        <f>IF(StaffPayroll[[#This Row],[Hourly WSB  Wage Minimum]]="",0,StaffPayroll[[#This Row],[Annual NF Wage Costs after WSB Minimum]]-StaffPayroll[[#This Row],[Annual NF Wage Costs before WSB Minimum]])</f>
        <v>0</v>
      </c>
      <c r="Q200" s="31">
        <f>IFERROR(IF(StaffPayroll[[#This Row],[Annual Cost of Wage Increase included in Rate Adjustment]]=0,0,P200*'Facility Info Input'!$F$10),0)</f>
        <v>0</v>
      </c>
      <c r="R200" s="32">
        <f>IFERROR(IF(StaffPayroll[[#This Row],[Annual Cost of Wage Increase included in Rate Adjustment]]=0,0,IF('Facility Info Input'!$F$11&lt;=0,0,P200*'Facility Info Input'!$F$11)),0)</f>
        <v>0</v>
      </c>
      <c r="S200" s="32">
        <f>IFERROR(IF(StaffPayroll[[#This Row],[Annual Cost of Wage Increase included in Rate Adjustment]]=0,0,IF('Facility Info Input'!$F$12&lt;=0,0,P200*'Facility Info Input'!$F$12)),0)</f>
        <v>0</v>
      </c>
      <c r="T200" s="32">
        <f t="shared" si="6"/>
        <v>0</v>
      </c>
      <c r="U200" s="33">
        <f t="shared" si="7"/>
        <v>0</v>
      </c>
    </row>
    <row r="201" spans="1:21">
      <c r="A201" s="76"/>
      <c r="B201" s="77"/>
      <c r="C201" s="81"/>
      <c r="D201" s="82"/>
      <c r="E201" s="82"/>
      <c r="F201" s="83"/>
      <c r="G201" s="84"/>
      <c r="H201" s="85"/>
      <c r="I201" s="71" t="e">
        <f>#REF!&amp;" "&amp;StaffPayroll[[#This Row],[Employee ID Number / Code]]</f>
        <v>#REF!</v>
      </c>
      <c r="J201" s="71" t="str">
        <f>_xlfn.IFNA(VLOOKUP(StaffPayroll[[#This Row],[Position / Title]],Lists!A:C,3,FALSE),"")</f>
        <v/>
      </c>
      <c r="K201" s="71">
        <f>StaffPayroll[[#This Row],[Payroll Period Ends Date (Minimum two months)]]-StaffPayroll[[#This Row],[Payroll Period Begins Date        (Must start after 6/1/2025)]]+1</f>
        <v>1</v>
      </c>
      <c r="L201" s="38">
        <f>IFERROR(IF(VLOOKUP(J201,'Facility Info Input'!$B$25:$D$34,3,FALSE)="",1,VLOOKUP(J201,'Facility Info Input'!$B$25:$D$34,3,FALSE)),0)</f>
        <v>0</v>
      </c>
      <c r="M201" s="22" t="str">
        <f>IF(StaffPayroll[[#This Row],[Employee ID Number / Code]]="","",IF(StaffPayroll[[#This Row],[Position / Title]]="","",VLOOKUP(StaffPayroll[[#This Row],[Position / Title]],Lists!A:C,2,FALSE)))</f>
        <v/>
      </c>
      <c r="N201" s="22">
        <f>IF(C201="",0,StaffPayroll[[#This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1" s="31">
        <f>IF(StaffPayroll[[#This Row],[Hourly WSB  Wage Minimum]]="",0,StaffPayroll[[#This Row],[Annual NF Wage Costs after WSB Minimum]]-StaffPayroll[[#This Row],[Annual NF Wage Costs before WSB Minimum]])</f>
        <v>0</v>
      </c>
      <c r="Q201" s="31">
        <f>IFERROR(IF(StaffPayroll[[#This Row],[Annual Cost of Wage Increase included in Rate Adjustment]]=0,0,P201*'Facility Info Input'!$F$10),0)</f>
        <v>0</v>
      </c>
      <c r="R201" s="32">
        <f>IFERROR(IF(StaffPayroll[[#This Row],[Annual Cost of Wage Increase included in Rate Adjustment]]=0,0,IF('Facility Info Input'!$F$11&lt;=0,0,P201*'Facility Info Input'!$F$11)),0)</f>
        <v>0</v>
      </c>
      <c r="S201" s="32">
        <f>IFERROR(IF(StaffPayroll[[#This Row],[Annual Cost of Wage Increase included in Rate Adjustment]]=0,0,IF('Facility Info Input'!$F$12&lt;=0,0,P201*'Facility Info Input'!$F$12)),0)</f>
        <v>0</v>
      </c>
      <c r="T201" s="32">
        <f t="shared" si="6"/>
        <v>0</v>
      </c>
      <c r="U201" s="33">
        <f t="shared" si="7"/>
        <v>0</v>
      </c>
    </row>
    <row r="202" spans="1:21">
      <c r="A202" s="76"/>
      <c r="B202" s="77"/>
      <c r="C202" s="81"/>
      <c r="D202" s="82"/>
      <c r="E202" s="82"/>
      <c r="F202" s="83"/>
      <c r="G202" s="84"/>
      <c r="H202" s="85"/>
      <c r="I202" s="71" t="e">
        <f>#REF!&amp;" "&amp;StaffPayroll[[#This Row],[Employee ID Number / Code]]</f>
        <v>#REF!</v>
      </c>
      <c r="J202" s="71" t="str">
        <f>_xlfn.IFNA(VLOOKUP(StaffPayroll[[#This Row],[Position / Title]],Lists!A:C,3,FALSE),"")</f>
        <v/>
      </c>
      <c r="K202" s="71">
        <f>StaffPayroll[[#This Row],[Payroll Period Ends Date (Minimum two months)]]-StaffPayroll[[#This Row],[Payroll Period Begins Date        (Must start after 6/1/2025)]]+1</f>
        <v>1</v>
      </c>
      <c r="L202" s="38">
        <f>IFERROR(IF(VLOOKUP(J202,'Facility Info Input'!$B$25:$D$34,3,FALSE)="",1,VLOOKUP(J202,'Facility Info Input'!$B$25:$D$34,3,FALSE)),0)</f>
        <v>0</v>
      </c>
      <c r="M202" s="22" t="str">
        <f>IF(StaffPayroll[[#This Row],[Employee ID Number / Code]]="","",IF(StaffPayroll[[#This Row],[Position / Title]]="","",VLOOKUP(StaffPayroll[[#This Row],[Position / Title]],Lists!A:C,2,FALSE)))</f>
        <v/>
      </c>
      <c r="N202" s="22">
        <f>IF(C202="",0,StaffPayroll[[#This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2" s="31">
        <f>IF(StaffPayroll[[#This Row],[Hourly WSB  Wage Minimum]]="",0,StaffPayroll[[#This Row],[Annual NF Wage Costs after WSB Minimum]]-StaffPayroll[[#This Row],[Annual NF Wage Costs before WSB Minimum]])</f>
        <v>0</v>
      </c>
      <c r="Q202" s="31">
        <f>IFERROR(IF(StaffPayroll[[#This Row],[Annual Cost of Wage Increase included in Rate Adjustment]]=0,0,P202*'Facility Info Input'!$F$10),0)</f>
        <v>0</v>
      </c>
      <c r="R202" s="32">
        <f>IFERROR(IF(StaffPayroll[[#This Row],[Annual Cost of Wage Increase included in Rate Adjustment]]=0,0,IF('Facility Info Input'!$F$11&lt;=0,0,P202*'Facility Info Input'!$F$11)),0)</f>
        <v>0</v>
      </c>
      <c r="S202" s="32">
        <f>IFERROR(IF(StaffPayroll[[#This Row],[Annual Cost of Wage Increase included in Rate Adjustment]]=0,0,IF('Facility Info Input'!$F$12&lt;=0,0,P202*'Facility Info Input'!$F$12)),0)</f>
        <v>0</v>
      </c>
      <c r="T202" s="32">
        <f t="shared" si="6"/>
        <v>0</v>
      </c>
      <c r="U202" s="33">
        <f t="shared" si="7"/>
        <v>0</v>
      </c>
    </row>
    <row r="203" spans="1:21">
      <c r="A203" s="76"/>
      <c r="B203" s="77"/>
      <c r="C203" s="81"/>
      <c r="D203" s="82"/>
      <c r="E203" s="82"/>
      <c r="F203" s="83"/>
      <c r="G203" s="84"/>
      <c r="H203" s="85"/>
      <c r="I203" s="71" t="e">
        <f>#REF!&amp;" "&amp;StaffPayroll[[#This Row],[Employee ID Number / Code]]</f>
        <v>#REF!</v>
      </c>
      <c r="J203" s="71" t="str">
        <f>_xlfn.IFNA(VLOOKUP(StaffPayroll[[#This Row],[Position / Title]],Lists!A:C,3,FALSE),"")</f>
        <v/>
      </c>
      <c r="K203" s="71">
        <f>StaffPayroll[[#This Row],[Payroll Period Ends Date (Minimum two months)]]-StaffPayroll[[#This Row],[Payroll Period Begins Date        (Must start after 6/1/2025)]]+1</f>
        <v>1</v>
      </c>
      <c r="L203" s="38">
        <f>IFERROR(IF(VLOOKUP(J203,'Facility Info Input'!$B$25:$D$34,3,FALSE)="",1,VLOOKUP(J203,'Facility Info Input'!$B$25:$D$34,3,FALSE)),0)</f>
        <v>0</v>
      </c>
      <c r="M203" s="22" t="str">
        <f>IF(StaffPayroll[[#This Row],[Employee ID Number / Code]]="","",IF(StaffPayroll[[#This Row],[Position / Title]]="","",VLOOKUP(StaffPayroll[[#This Row],[Position / Title]],Lists!A:C,2,FALSE)))</f>
        <v/>
      </c>
      <c r="N203" s="22">
        <f>IF(C203="",0,StaffPayroll[[#This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3" s="31">
        <f>IF(StaffPayroll[[#This Row],[Hourly WSB  Wage Minimum]]="",0,StaffPayroll[[#This Row],[Annual NF Wage Costs after WSB Minimum]]-StaffPayroll[[#This Row],[Annual NF Wage Costs before WSB Minimum]])</f>
        <v>0</v>
      </c>
      <c r="Q203" s="31">
        <f>IFERROR(IF(StaffPayroll[[#This Row],[Annual Cost of Wage Increase included in Rate Adjustment]]=0,0,P203*'Facility Info Input'!$F$10),0)</f>
        <v>0</v>
      </c>
      <c r="R203" s="32">
        <f>IFERROR(IF(StaffPayroll[[#This Row],[Annual Cost of Wage Increase included in Rate Adjustment]]=0,0,IF('Facility Info Input'!$F$11&lt;=0,0,P203*'Facility Info Input'!$F$11)),0)</f>
        <v>0</v>
      </c>
      <c r="S203" s="32">
        <f>IFERROR(IF(StaffPayroll[[#This Row],[Annual Cost of Wage Increase included in Rate Adjustment]]=0,0,IF('Facility Info Input'!$F$12&lt;=0,0,P203*'Facility Info Input'!$F$12)),0)</f>
        <v>0</v>
      </c>
      <c r="T203" s="32">
        <f t="shared" si="6"/>
        <v>0</v>
      </c>
      <c r="U203" s="33">
        <f t="shared" si="7"/>
        <v>0</v>
      </c>
    </row>
    <row r="204" spans="1:21">
      <c r="A204" s="76"/>
      <c r="B204" s="77"/>
      <c r="C204" s="81"/>
      <c r="D204" s="82"/>
      <c r="E204" s="82"/>
      <c r="F204" s="83"/>
      <c r="G204" s="84"/>
      <c r="H204" s="85"/>
      <c r="I204" s="71" t="e">
        <f>#REF!&amp;" "&amp;StaffPayroll[[#This Row],[Employee ID Number / Code]]</f>
        <v>#REF!</v>
      </c>
      <c r="J204" s="71" t="str">
        <f>_xlfn.IFNA(VLOOKUP(StaffPayroll[[#This Row],[Position / Title]],Lists!A:C,3,FALSE),"")</f>
        <v/>
      </c>
      <c r="K204" s="71">
        <f>StaffPayroll[[#This Row],[Payroll Period Ends Date (Minimum two months)]]-StaffPayroll[[#This Row],[Payroll Period Begins Date        (Must start after 6/1/2025)]]+1</f>
        <v>1</v>
      </c>
      <c r="L204" s="38">
        <f>IFERROR(IF(VLOOKUP(J204,'Facility Info Input'!$B$25:$D$34,3,FALSE)="",1,VLOOKUP(J204,'Facility Info Input'!$B$25:$D$34,3,FALSE)),0)</f>
        <v>0</v>
      </c>
      <c r="M204" s="22" t="str">
        <f>IF(StaffPayroll[[#This Row],[Employee ID Number / Code]]="","",IF(StaffPayroll[[#This Row],[Position / Title]]="","",VLOOKUP(StaffPayroll[[#This Row],[Position / Title]],Lists!A:C,2,FALSE)))</f>
        <v/>
      </c>
      <c r="N204" s="22">
        <f>IF(C204="",0,StaffPayroll[[#This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4" s="31">
        <f>IF(StaffPayroll[[#This Row],[Hourly WSB  Wage Minimum]]="",0,StaffPayroll[[#This Row],[Annual NF Wage Costs after WSB Minimum]]-StaffPayroll[[#This Row],[Annual NF Wage Costs before WSB Minimum]])</f>
        <v>0</v>
      </c>
      <c r="Q204" s="31">
        <f>IFERROR(IF(StaffPayroll[[#This Row],[Annual Cost of Wage Increase included in Rate Adjustment]]=0,0,P204*'Facility Info Input'!$F$10),0)</f>
        <v>0</v>
      </c>
      <c r="R204" s="32">
        <f>IFERROR(IF(StaffPayroll[[#This Row],[Annual Cost of Wage Increase included in Rate Adjustment]]=0,0,IF('Facility Info Input'!$F$11&lt;=0,0,P204*'Facility Info Input'!$F$11)),0)</f>
        <v>0</v>
      </c>
      <c r="S204" s="32">
        <f>IFERROR(IF(StaffPayroll[[#This Row],[Annual Cost of Wage Increase included in Rate Adjustment]]=0,0,IF('Facility Info Input'!$F$12&lt;=0,0,P204*'Facility Info Input'!$F$12)),0)</f>
        <v>0</v>
      </c>
      <c r="T204" s="32">
        <f t="shared" si="6"/>
        <v>0</v>
      </c>
      <c r="U204" s="33">
        <f t="shared" si="7"/>
        <v>0</v>
      </c>
    </row>
    <row r="205" spans="1:21">
      <c r="A205" s="76"/>
      <c r="B205" s="77"/>
      <c r="C205" s="81"/>
      <c r="D205" s="82"/>
      <c r="E205" s="82"/>
      <c r="F205" s="83"/>
      <c r="G205" s="84"/>
      <c r="H205" s="85"/>
      <c r="I205" s="71" t="e">
        <f>#REF!&amp;" "&amp;StaffPayroll[[#This Row],[Employee ID Number / Code]]</f>
        <v>#REF!</v>
      </c>
      <c r="J205" s="71" t="str">
        <f>_xlfn.IFNA(VLOOKUP(StaffPayroll[[#This Row],[Position / Title]],Lists!A:C,3,FALSE),"")</f>
        <v/>
      </c>
      <c r="K205" s="71">
        <f>StaffPayroll[[#This Row],[Payroll Period Ends Date (Minimum two months)]]-StaffPayroll[[#This Row],[Payroll Period Begins Date        (Must start after 6/1/2025)]]+1</f>
        <v>1</v>
      </c>
      <c r="L205" s="38">
        <f>IFERROR(IF(VLOOKUP(J205,'Facility Info Input'!$B$25:$D$34,3,FALSE)="",1,VLOOKUP(J205,'Facility Info Input'!$B$25:$D$34,3,FALSE)),0)</f>
        <v>0</v>
      </c>
      <c r="M205" s="22" t="str">
        <f>IF(StaffPayroll[[#This Row],[Employee ID Number / Code]]="","",IF(StaffPayroll[[#This Row],[Position / Title]]="","",VLOOKUP(StaffPayroll[[#This Row],[Position / Title]],Lists!A:C,2,FALSE)))</f>
        <v/>
      </c>
      <c r="N205" s="22">
        <f>IF(C205="",0,StaffPayroll[[#This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5" s="31">
        <f>IF(StaffPayroll[[#This Row],[Hourly WSB  Wage Minimum]]="",0,StaffPayroll[[#This Row],[Annual NF Wage Costs after WSB Minimum]]-StaffPayroll[[#This Row],[Annual NF Wage Costs before WSB Minimum]])</f>
        <v>0</v>
      </c>
      <c r="Q205" s="31">
        <f>IFERROR(IF(StaffPayroll[[#This Row],[Annual Cost of Wage Increase included in Rate Adjustment]]=0,0,P205*'Facility Info Input'!$F$10),0)</f>
        <v>0</v>
      </c>
      <c r="R205" s="32">
        <f>IFERROR(IF(StaffPayroll[[#This Row],[Annual Cost of Wage Increase included in Rate Adjustment]]=0,0,IF('Facility Info Input'!$F$11&lt;=0,0,P205*'Facility Info Input'!$F$11)),0)</f>
        <v>0</v>
      </c>
      <c r="S205" s="32">
        <f>IFERROR(IF(StaffPayroll[[#This Row],[Annual Cost of Wage Increase included in Rate Adjustment]]=0,0,IF('Facility Info Input'!$F$12&lt;=0,0,P205*'Facility Info Input'!$F$12)),0)</f>
        <v>0</v>
      </c>
      <c r="T205" s="32">
        <f t="shared" si="6"/>
        <v>0</v>
      </c>
      <c r="U205" s="33">
        <f t="shared" si="7"/>
        <v>0</v>
      </c>
    </row>
    <row r="206" spans="1:21">
      <c r="A206" s="76"/>
      <c r="B206" s="77"/>
      <c r="C206" s="81"/>
      <c r="D206" s="82"/>
      <c r="E206" s="82"/>
      <c r="F206" s="83"/>
      <c r="G206" s="84"/>
      <c r="H206" s="85"/>
      <c r="I206" s="71" t="e">
        <f>#REF!&amp;" "&amp;StaffPayroll[[#This Row],[Employee ID Number / Code]]</f>
        <v>#REF!</v>
      </c>
      <c r="J206" s="71" t="str">
        <f>_xlfn.IFNA(VLOOKUP(StaffPayroll[[#This Row],[Position / Title]],Lists!A:C,3,FALSE),"")</f>
        <v/>
      </c>
      <c r="K206" s="71">
        <f>StaffPayroll[[#This Row],[Payroll Period Ends Date (Minimum two months)]]-StaffPayroll[[#This Row],[Payroll Period Begins Date        (Must start after 6/1/2025)]]+1</f>
        <v>1</v>
      </c>
      <c r="L206" s="38">
        <f>IFERROR(IF(VLOOKUP(J206,'Facility Info Input'!$B$25:$D$34,3,FALSE)="",1,VLOOKUP(J206,'Facility Info Input'!$B$25:$D$34,3,FALSE)),0)</f>
        <v>0</v>
      </c>
      <c r="M206" s="22" t="str">
        <f>IF(StaffPayroll[[#This Row],[Employee ID Number / Code]]="","",IF(StaffPayroll[[#This Row],[Position / Title]]="","",VLOOKUP(StaffPayroll[[#This Row],[Position / Title]],Lists!A:C,2,FALSE)))</f>
        <v/>
      </c>
      <c r="N206" s="22">
        <f>IF(C206="",0,StaffPayroll[[#This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6" s="31">
        <f>IF(StaffPayroll[[#This Row],[Hourly WSB  Wage Minimum]]="",0,StaffPayroll[[#This Row],[Annual NF Wage Costs after WSB Minimum]]-StaffPayroll[[#This Row],[Annual NF Wage Costs before WSB Minimum]])</f>
        <v>0</v>
      </c>
      <c r="Q206" s="31">
        <f>IFERROR(IF(StaffPayroll[[#This Row],[Annual Cost of Wage Increase included in Rate Adjustment]]=0,0,P206*'Facility Info Input'!$F$10),0)</f>
        <v>0</v>
      </c>
      <c r="R206" s="32">
        <f>IFERROR(IF(StaffPayroll[[#This Row],[Annual Cost of Wage Increase included in Rate Adjustment]]=0,0,IF('Facility Info Input'!$F$11&lt;=0,0,P206*'Facility Info Input'!$F$11)),0)</f>
        <v>0</v>
      </c>
      <c r="S206" s="32">
        <f>IFERROR(IF(StaffPayroll[[#This Row],[Annual Cost of Wage Increase included in Rate Adjustment]]=0,0,IF('Facility Info Input'!$F$12&lt;=0,0,P206*'Facility Info Input'!$F$12)),0)</f>
        <v>0</v>
      </c>
      <c r="T206" s="32">
        <f t="shared" si="6"/>
        <v>0</v>
      </c>
      <c r="U206" s="33">
        <f t="shared" si="7"/>
        <v>0</v>
      </c>
    </row>
    <row r="207" spans="1:21">
      <c r="A207" s="76"/>
      <c r="B207" s="77"/>
      <c r="C207" s="81"/>
      <c r="D207" s="82"/>
      <c r="E207" s="82"/>
      <c r="F207" s="83"/>
      <c r="G207" s="84"/>
      <c r="H207" s="85"/>
      <c r="I207" s="71" t="e">
        <f>#REF!&amp;" "&amp;StaffPayroll[[#This Row],[Employee ID Number / Code]]</f>
        <v>#REF!</v>
      </c>
      <c r="J207" s="71" t="str">
        <f>_xlfn.IFNA(VLOOKUP(StaffPayroll[[#This Row],[Position / Title]],Lists!A:C,3,FALSE),"")</f>
        <v/>
      </c>
      <c r="K207" s="71">
        <f>StaffPayroll[[#This Row],[Payroll Period Ends Date (Minimum two months)]]-StaffPayroll[[#This Row],[Payroll Period Begins Date        (Must start after 6/1/2025)]]+1</f>
        <v>1</v>
      </c>
      <c r="L207" s="38">
        <f>IFERROR(IF(VLOOKUP(J207,'Facility Info Input'!$B$25:$D$34,3,FALSE)="",1,VLOOKUP(J207,'Facility Info Input'!$B$25:$D$34,3,FALSE)),0)</f>
        <v>0</v>
      </c>
      <c r="M207" s="22" t="str">
        <f>IF(StaffPayroll[[#This Row],[Employee ID Number / Code]]="","",IF(StaffPayroll[[#This Row],[Position / Title]]="","",VLOOKUP(StaffPayroll[[#This Row],[Position / Title]],Lists!A:C,2,FALSE)))</f>
        <v/>
      </c>
      <c r="N207" s="22">
        <f>IF(C207="",0,StaffPayroll[[#This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7" s="31">
        <f>IF(StaffPayroll[[#This Row],[Hourly WSB  Wage Minimum]]="",0,StaffPayroll[[#This Row],[Annual NF Wage Costs after WSB Minimum]]-StaffPayroll[[#This Row],[Annual NF Wage Costs before WSB Minimum]])</f>
        <v>0</v>
      </c>
      <c r="Q207" s="31">
        <f>IFERROR(IF(StaffPayroll[[#This Row],[Annual Cost of Wage Increase included in Rate Adjustment]]=0,0,P207*'Facility Info Input'!$F$10),0)</f>
        <v>0</v>
      </c>
      <c r="R207" s="32">
        <f>IFERROR(IF(StaffPayroll[[#This Row],[Annual Cost of Wage Increase included in Rate Adjustment]]=0,0,IF('Facility Info Input'!$F$11&lt;=0,0,P207*'Facility Info Input'!$F$11)),0)</f>
        <v>0</v>
      </c>
      <c r="S207" s="32">
        <f>IFERROR(IF(StaffPayroll[[#This Row],[Annual Cost of Wage Increase included in Rate Adjustment]]=0,0,IF('Facility Info Input'!$F$12&lt;=0,0,P207*'Facility Info Input'!$F$12)),0)</f>
        <v>0</v>
      </c>
      <c r="T207" s="32">
        <f t="shared" si="6"/>
        <v>0</v>
      </c>
      <c r="U207" s="33">
        <f t="shared" si="7"/>
        <v>0</v>
      </c>
    </row>
    <row r="208" spans="1:21">
      <c r="A208" s="76"/>
      <c r="B208" s="77"/>
      <c r="C208" s="81"/>
      <c r="D208" s="82"/>
      <c r="E208" s="82"/>
      <c r="F208" s="83"/>
      <c r="G208" s="84"/>
      <c r="H208" s="85"/>
      <c r="I208" s="71" t="e">
        <f>#REF!&amp;" "&amp;StaffPayroll[[#This Row],[Employee ID Number / Code]]</f>
        <v>#REF!</v>
      </c>
      <c r="J208" s="71" t="str">
        <f>_xlfn.IFNA(VLOOKUP(StaffPayroll[[#This Row],[Position / Title]],Lists!A:C,3,FALSE),"")</f>
        <v/>
      </c>
      <c r="K208" s="71">
        <f>StaffPayroll[[#This Row],[Payroll Period Ends Date (Minimum two months)]]-StaffPayroll[[#This Row],[Payroll Period Begins Date        (Must start after 6/1/2025)]]+1</f>
        <v>1</v>
      </c>
      <c r="L208" s="38">
        <f>IFERROR(IF(VLOOKUP(J208,'Facility Info Input'!$B$25:$D$34,3,FALSE)="",1,VLOOKUP(J208,'Facility Info Input'!$B$25:$D$34,3,FALSE)),0)</f>
        <v>0</v>
      </c>
      <c r="M208" s="22" t="str">
        <f>IF(StaffPayroll[[#This Row],[Employee ID Number / Code]]="","",IF(StaffPayroll[[#This Row],[Position / Title]]="","",VLOOKUP(StaffPayroll[[#This Row],[Position / Title]],Lists!A:C,2,FALSE)))</f>
        <v/>
      </c>
      <c r="N208" s="22">
        <f>IF(C208="",0,StaffPayroll[[#This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8" s="31">
        <f>IF(StaffPayroll[[#This Row],[Hourly WSB  Wage Minimum]]="",0,StaffPayroll[[#This Row],[Annual NF Wage Costs after WSB Minimum]]-StaffPayroll[[#This Row],[Annual NF Wage Costs before WSB Minimum]])</f>
        <v>0</v>
      </c>
      <c r="Q208" s="31">
        <f>IFERROR(IF(StaffPayroll[[#This Row],[Annual Cost of Wage Increase included in Rate Adjustment]]=0,0,P208*'Facility Info Input'!$F$10),0)</f>
        <v>0</v>
      </c>
      <c r="R208" s="32">
        <f>IFERROR(IF(StaffPayroll[[#This Row],[Annual Cost of Wage Increase included in Rate Adjustment]]=0,0,IF('Facility Info Input'!$F$11&lt;=0,0,P208*'Facility Info Input'!$F$11)),0)</f>
        <v>0</v>
      </c>
      <c r="S208" s="32">
        <f>IFERROR(IF(StaffPayroll[[#This Row],[Annual Cost of Wage Increase included in Rate Adjustment]]=0,0,IF('Facility Info Input'!$F$12&lt;=0,0,P208*'Facility Info Input'!$F$12)),0)</f>
        <v>0</v>
      </c>
      <c r="T208" s="32">
        <f t="shared" si="6"/>
        <v>0</v>
      </c>
      <c r="U208" s="33">
        <f t="shared" si="7"/>
        <v>0</v>
      </c>
    </row>
    <row r="209" spans="1:21">
      <c r="A209" s="76"/>
      <c r="B209" s="77"/>
      <c r="C209" s="81"/>
      <c r="D209" s="82"/>
      <c r="E209" s="82"/>
      <c r="F209" s="83"/>
      <c r="G209" s="84"/>
      <c r="H209" s="85"/>
      <c r="I209" s="71" t="e">
        <f>#REF!&amp;" "&amp;StaffPayroll[[#This Row],[Employee ID Number / Code]]</f>
        <v>#REF!</v>
      </c>
      <c r="J209" s="71" t="str">
        <f>_xlfn.IFNA(VLOOKUP(StaffPayroll[[#This Row],[Position / Title]],Lists!A:C,3,FALSE),"")</f>
        <v/>
      </c>
      <c r="K209" s="71">
        <f>StaffPayroll[[#This Row],[Payroll Period Ends Date (Minimum two months)]]-StaffPayroll[[#This Row],[Payroll Period Begins Date        (Must start after 6/1/2025)]]+1</f>
        <v>1</v>
      </c>
      <c r="L209" s="38">
        <f>IFERROR(IF(VLOOKUP(J209,'Facility Info Input'!$B$25:$D$34,3,FALSE)="",1,VLOOKUP(J209,'Facility Info Input'!$B$25:$D$34,3,FALSE)),0)</f>
        <v>0</v>
      </c>
      <c r="M209" s="22" t="str">
        <f>IF(StaffPayroll[[#This Row],[Employee ID Number / Code]]="","",IF(StaffPayroll[[#This Row],[Position / Title]]="","",VLOOKUP(StaffPayroll[[#This Row],[Position / Title]],Lists!A:C,2,FALSE)))</f>
        <v/>
      </c>
      <c r="N209" s="22">
        <f>IF(C209="",0,StaffPayroll[[#This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0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09" s="31">
        <f>IF(StaffPayroll[[#This Row],[Hourly WSB  Wage Minimum]]="",0,StaffPayroll[[#This Row],[Annual NF Wage Costs after WSB Minimum]]-StaffPayroll[[#This Row],[Annual NF Wage Costs before WSB Minimum]])</f>
        <v>0</v>
      </c>
      <c r="Q209" s="31">
        <f>IFERROR(IF(StaffPayroll[[#This Row],[Annual Cost of Wage Increase included in Rate Adjustment]]=0,0,P209*'Facility Info Input'!$F$10),0)</f>
        <v>0</v>
      </c>
      <c r="R209" s="32">
        <f>IFERROR(IF(StaffPayroll[[#This Row],[Annual Cost of Wage Increase included in Rate Adjustment]]=0,0,IF('Facility Info Input'!$F$11&lt;=0,0,P209*'Facility Info Input'!$F$11)),0)</f>
        <v>0</v>
      </c>
      <c r="S209" s="32">
        <f>IFERROR(IF(StaffPayroll[[#This Row],[Annual Cost of Wage Increase included in Rate Adjustment]]=0,0,IF('Facility Info Input'!$F$12&lt;=0,0,P209*'Facility Info Input'!$F$12)),0)</f>
        <v>0</v>
      </c>
      <c r="T209" s="32">
        <f t="shared" si="6"/>
        <v>0</v>
      </c>
      <c r="U209" s="33">
        <f t="shared" si="7"/>
        <v>0</v>
      </c>
    </row>
    <row r="210" spans="1:21">
      <c r="A210" s="76"/>
      <c r="B210" s="77"/>
      <c r="C210" s="81"/>
      <c r="D210" s="82"/>
      <c r="E210" s="82"/>
      <c r="F210" s="83"/>
      <c r="G210" s="84"/>
      <c r="H210" s="85"/>
      <c r="I210" s="71" t="e">
        <f>#REF!&amp;" "&amp;StaffPayroll[[#This Row],[Employee ID Number / Code]]</f>
        <v>#REF!</v>
      </c>
      <c r="J210" s="71" t="str">
        <f>_xlfn.IFNA(VLOOKUP(StaffPayroll[[#This Row],[Position / Title]],Lists!A:C,3,FALSE),"")</f>
        <v/>
      </c>
      <c r="K210" s="71">
        <f>StaffPayroll[[#This Row],[Payroll Period Ends Date (Minimum two months)]]-StaffPayroll[[#This Row],[Payroll Period Begins Date        (Must start after 6/1/2025)]]+1</f>
        <v>1</v>
      </c>
      <c r="L210" s="38">
        <f>IFERROR(IF(VLOOKUP(J210,'Facility Info Input'!$B$25:$D$34,3,FALSE)="",1,VLOOKUP(J210,'Facility Info Input'!$B$25:$D$34,3,FALSE)),0)</f>
        <v>0</v>
      </c>
      <c r="M210" s="22" t="str">
        <f>IF(StaffPayroll[[#This Row],[Employee ID Number / Code]]="","",IF(StaffPayroll[[#This Row],[Position / Title]]="","",VLOOKUP(StaffPayroll[[#This Row],[Position / Title]],Lists!A:C,2,FALSE)))</f>
        <v/>
      </c>
      <c r="N210" s="22">
        <f>IF(C210="",0,StaffPayroll[[#This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0" s="31">
        <f>IF(StaffPayroll[[#This Row],[Hourly WSB  Wage Minimum]]="",0,StaffPayroll[[#This Row],[Annual NF Wage Costs after WSB Minimum]]-StaffPayroll[[#This Row],[Annual NF Wage Costs before WSB Minimum]])</f>
        <v>0</v>
      </c>
      <c r="Q210" s="31">
        <f>IFERROR(IF(StaffPayroll[[#This Row],[Annual Cost of Wage Increase included in Rate Adjustment]]=0,0,P210*'Facility Info Input'!$F$10),0)</f>
        <v>0</v>
      </c>
      <c r="R210" s="32">
        <f>IFERROR(IF(StaffPayroll[[#This Row],[Annual Cost of Wage Increase included in Rate Adjustment]]=0,0,IF('Facility Info Input'!$F$11&lt;=0,0,P210*'Facility Info Input'!$F$11)),0)</f>
        <v>0</v>
      </c>
      <c r="S210" s="32">
        <f>IFERROR(IF(StaffPayroll[[#This Row],[Annual Cost of Wage Increase included in Rate Adjustment]]=0,0,IF('Facility Info Input'!$F$12&lt;=0,0,P210*'Facility Info Input'!$F$12)),0)</f>
        <v>0</v>
      </c>
      <c r="T210" s="32">
        <f t="shared" si="6"/>
        <v>0</v>
      </c>
      <c r="U210" s="33">
        <f t="shared" si="7"/>
        <v>0</v>
      </c>
    </row>
    <row r="211" spans="1:21">
      <c r="A211" s="76"/>
      <c r="B211" s="77"/>
      <c r="C211" s="81"/>
      <c r="D211" s="82"/>
      <c r="E211" s="82"/>
      <c r="F211" s="83"/>
      <c r="G211" s="84"/>
      <c r="H211" s="85"/>
      <c r="I211" s="71" t="e">
        <f>#REF!&amp;" "&amp;StaffPayroll[[#This Row],[Employee ID Number / Code]]</f>
        <v>#REF!</v>
      </c>
      <c r="J211" s="71" t="str">
        <f>_xlfn.IFNA(VLOOKUP(StaffPayroll[[#This Row],[Position / Title]],Lists!A:C,3,FALSE),"")</f>
        <v/>
      </c>
      <c r="K211" s="71">
        <f>StaffPayroll[[#This Row],[Payroll Period Ends Date (Minimum two months)]]-StaffPayroll[[#This Row],[Payroll Period Begins Date        (Must start after 6/1/2025)]]+1</f>
        <v>1</v>
      </c>
      <c r="L211" s="38">
        <f>IFERROR(IF(VLOOKUP(J211,'Facility Info Input'!$B$25:$D$34,3,FALSE)="",1,VLOOKUP(J211,'Facility Info Input'!$B$25:$D$34,3,FALSE)),0)</f>
        <v>0</v>
      </c>
      <c r="M211" s="22" t="str">
        <f>IF(StaffPayroll[[#This Row],[Employee ID Number / Code]]="","",IF(StaffPayroll[[#This Row],[Position / Title]]="","",VLOOKUP(StaffPayroll[[#This Row],[Position / Title]],Lists!A:C,2,FALSE)))</f>
        <v/>
      </c>
      <c r="N211" s="22">
        <f>IF(C211="",0,StaffPayroll[[#This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1" s="31">
        <f>IF(StaffPayroll[[#This Row],[Hourly WSB  Wage Minimum]]="",0,StaffPayroll[[#This Row],[Annual NF Wage Costs after WSB Minimum]]-StaffPayroll[[#This Row],[Annual NF Wage Costs before WSB Minimum]])</f>
        <v>0</v>
      </c>
      <c r="Q211" s="31">
        <f>IFERROR(IF(StaffPayroll[[#This Row],[Annual Cost of Wage Increase included in Rate Adjustment]]=0,0,P211*'Facility Info Input'!$F$10),0)</f>
        <v>0</v>
      </c>
      <c r="R211" s="32">
        <f>IFERROR(IF(StaffPayroll[[#This Row],[Annual Cost of Wage Increase included in Rate Adjustment]]=0,0,IF('Facility Info Input'!$F$11&lt;=0,0,P211*'Facility Info Input'!$F$11)),0)</f>
        <v>0</v>
      </c>
      <c r="S211" s="32">
        <f>IFERROR(IF(StaffPayroll[[#This Row],[Annual Cost of Wage Increase included in Rate Adjustment]]=0,0,IF('Facility Info Input'!$F$12&lt;=0,0,P211*'Facility Info Input'!$F$12)),0)</f>
        <v>0</v>
      </c>
      <c r="T211" s="32">
        <f t="shared" si="6"/>
        <v>0</v>
      </c>
      <c r="U211" s="33">
        <f t="shared" si="7"/>
        <v>0</v>
      </c>
    </row>
    <row r="212" spans="1:21">
      <c r="A212" s="76"/>
      <c r="B212" s="77"/>
      <c r="C212" s="81"/>
      <c r="D212" s="82"/>
      <c r="E212" s="82"/>
      <c r="F212" s="83"/>
      <c r="G212" s="84"/>
      <c r="H212" s="85"/>
      <c r="I212" s="71" t="e">
        <f>#REF!&amp;" "&amp;StaffPayroll[[#This Row],[Employee ID Number / Code]]</f>
        <v>#REF!</v>
      </c>
      <c r="J212" s="71" t="str">
        <f>_xlfn.IFNA(VLOOKUP(StaffPayroll[[#This Row],[Position / Title]],Lists!A:C,3,FALSE),"")</f>
        <v/>
      </c>
      <c r="K212" s="71">
        <f>StaffPayroll[[#This Row],[Payroll Period Ends Date (Minimum two months)]]-StaffPayroll[[#This Row],[Payroll Period Begins Date        (Must start after 6/1/2025)]]+1</f>
        <v>1</v>
      </c>
      <c r="L212" s="38">
        <f>IFERROR(IF(VLOOKUP(J212,'Facility Info Input'!$B$25:$D$34,3,FALSE)="",1,VLOOKUP(J212,'Facility Info Input'!$B$25:$D$34,3,FALSE)),0)</f>
        <v>0</v>
      </c>
      <c r="M212" s="22" t="str">
        <f>IF(StaffPayroll[[#This Row],[Employee ID Number / Code]]="","",IF(StaffPayroll[[#This Row],[Position / Title]]="","",VLOOKUP(StaffPayroll[[#This Row],[Position / Title]],Lists!A:C,2,FALSE)))</f>
        <v/>
      </c>
      <c r="N212" s="22">
        <f>IF(C212="",0,StaffPayroll[[#This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2" s="31">
        <f>IF(StaffPayroll[[#This Row],[Hourly WSB  Wage Minimum]]="",0,StaffPayroll[[#This Row],[Annual NF Wage Costs after WSB Minimum]]-StaffPayroll[[#This Row],[Annual NF Wage Costs before WSB Minimum]])</f>
        <v>0</v>
      </c>
      <c r="Q212" s="31">
        <f>IFERROR(IF(StaffPayroll[[#This Row],[Annual Cost of Wage Increase included in Rate Adjustment]]=0,0,P212*'Facility Info Input'!$F$10),0)</f>
        <v>0</v>
      </c>
      <c r="R212" s="32">
        <f>IFERROR(IF(StaffPayroll[[#This Row],[Annual Cost of Wage Increase included in Rate Adjustment]]=0,0,IF('Facility Info Input'!$F$11&lt;=0,0,P212*'Facility Info Input'!$F$11)),0)</f>
        <v>0</v>
      </c>
      <c r="S212" s="32">
        <f>IFERROR(IF(StaffPayroll[[#This Row],[Annual Cost of Wage Increase included in Rate Adjustment]]=0,0,IF('Facility Info Input'!$F$12&lt;=0,0,P212*'Facility Info Input'!$F$12)),0)</f>
        <v>0</v>
      </c>
      <c r="T212" s="32">
        <f t="shared" si="6"/>
        <v>0</v>
      </c>
      <c r="U212" s="33">
        <f t="shared" si="7"/>
        <v>0</v>
      </c>
    </row>
    <row r="213" spans="1:21">
      <c r="A213" s="76"/>
      <c r="B213" s="77"/>
      <c r="C213" s="81"/>
      <c r="D213" s="82"/>
      <c r="E213" s="82"/>
      <c r="F213" s="83"/>
      <c r="G213" s="84"/>
      <c r="H213" s="85"/>
      <c r="I213" s="71" t="e">
        <f>#REF!&amp;" "&amp;StaffPayroll[[#This Row],[Employee ID Number / Code]]</f>
        <v>#REF!</v>
      </c>
      <c r="J213" s="71" t="str">
        <f>_xlfn.IFNA(VLOOKUP(StaffPayroll[[#This Row],[Position / Title]],Lists!A:C,3,FALSE),"")</f>
        <v/>
      </c>
      <c r="K213" s="71">
        <f>StaffPayroll[[#This Row],[Payroll Period Ends Date (Minimum two months)]]-StaffPayroll[[#This Row],[Payroll Period Begins Date        (Must start after 6/1/2025)]]+1</f>
        <v>1</v>
      </c>
      <c r="L213" s="38">
        <f>IFERROR(IF(VLOOKUP(J213,'Facility Info Input'!$B$25:$D$34,3,FALSE)="",1,VLOOKUP(J213,'Facility Info Input'!$B$25:$D$34,3,FALSE)),0)</f>
        <v>0</v>
      </c>
      <c r="M213" s="22" t="str">
        <f>IF(StaffPayroll[[#This Row],[Employee ID Number / Code]]="","",IF(StaffPayroll[[#This Row],[Position / Title]]="","",VLOOKUP(StaffPayroll[[#This Row],[Position / Title]],Lists!A:C,2,FALSE)))</f>
        <v/>
      </c>
      <c r="N213" s="22">
        <f>IF(C213="",0,StaffPayroll[[#This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3" s="31">
        <f>IF(StaffPayroll[[#This Row],[Hourly WSB  Wage Minimum]]="",0,StaffPayroll[[#This Row],[Annual NF Wage Costs after WSB Minimum]]-StaffPayroll[[#This Row],[Annual NF Wage Costs before WSB Minimum]])</f>
        <v>0</v>
      </c>
      <c r="Q213" s="31">
        <f>IFERROR(IF(StaffPayroll[[#This Row],[Annual Cost of Wage Increase included in Rate Adjustment]]=0,0,P213*'Facility Info Input'!$F$10),0)</f>
        <v>0</v>
      </c>
      <c r="R213" s="32">
        <f>IFERROR(IF(StaffPayroll[[#This Row],[Annual Cost of Wage Increase included in Rate Adjustment]]=0,0,IF('Facility Info Input'!$F$11&lt;=0,0,P213*'Facility Info Input'!$F$11)),0)</f>
        <v>0</v>
      </c>
      <c r="S213" s="32">
        <f>IFERROR(IF(StaffPayroll[[#This Row],[Annual Cost of Wage Increase included in Rate Adjustment]]=0,0,IF('Facility Info Input'!$F$12&lt;=0,0,P213*'Facility Info Input'!$F$12)),0)</f>
        <v>0</v>
      </c>
      <c r="T213" s="32">
        <f t="shared" si="6"/>
        <v>0</v>
      </c>
      <c r="U213" s="33">
        <f t="shared" si="7"/>
        <v>0</v>
      </c>
    </row>
    <row r="214" spans="1:21">
      <c r="A214" s="76"/>
      <c r="B214" s="77"/>
      <c r="C214" s="81"/>
      <c r="D214" s="82"/>
      <c r="E214" s="82"/>
      <c r="F214" s="83"/>
      <c r="G214" s="84"/>
      <c r="H214" s="85"/>
      <c r="I214" s="71" t="e">
        <f>#REF!&amp;" "&amp;StaffPayroll[[#This Row],[Employee ID Number / Code]]</f>
        <v>#REF!</v>
      </c>
      <c r="J214" s="71" t="str">
        <f>_xlfn.IFNA(VLOOKUP(StaffPayroll[[#This Row],[Position / Title]],Lists!A:C,3,FALSE),"")</f>
        <v/>
      </c>
      <c r="K214" s="71">
        <f>StaffPayroll[[#This Row],[Payroll Period Ends Date (Minimum two months)]]-StaffPayroll[[#This Row],[Payroll Period Begins Date        (Must start after 6/1/2025)]]+1</f>
        <v>1</v>
      </c>
      <c r="L214" s="38">
        <f>IFERROR(IF(VLOOKUP(J214,'Facility Info Input'!$B$25:$D$34,3,FALSE)="",1,VLOOKUP(J214,'Facility Info Input'!$B$25:$D$34,3,FALSE)),0)</f>
        <v>0</v>
      </c>
      <c r="M214" s="22" t="str">
        <f>IF(StaffPayroll[[#This Row],[Employee ID Number / Code]]="","",IF(StaffPayroll[[#This Row],[Position / Title]]="","",VLOOKUP(StaffPayroll[[#This Row],[Position / Title]],Lists!A:C,2,FALSE)))</f>
        <v/>
      </c>
      <c r="N214" s="22">
        <f>IF(C214="",0,StaffPayroll[[#This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4" s="31">
        <f>IF(StaffPayroll[[#This Row],[Hourly WSB  Wage Minimum]]="",0,StaffPayroll[[#This Row],[Annual NF Wage Costs after WSB Minimum]]-StaffPayroll[[#This Row],[Annual NF Wage Costs before WSB Minimum]])</f>
        <v>0</v>
      </c>
      <c r="Q214" s="31">
        <f>IFERROR(IF(StaffPayroll[[#This Row],[Annual Cost of Wage Increase included in Rate Adjustment]]=0,0,P214*'Facility Info Input'!$F$10),0)</f>
        <v>0</v>
      </c>
      <c r="R214" s="32">
        <f>IFERROR(IF(StaffPayroll[[#This Row],[Annual Cost of Wage Increase included in Rate Adjustment]]=0,0,IF('Facility Info Input'!$F$11&lt;=0,0,P214*'Facility Info Input'!$F$11)),0)</f>
        <v>0</v>
      </c>
      <c r="S214" s="32">
        <f>IFERROR(IF(StaffPayroll[[#This Row],[Annual Cost of Wage Increase included in Rate Adjustment]]=0,0,IF('Facility Info Input'!$F$12&lt;=0,0,P214*'Facility Info Input'!$F$12)),0)</f>
        <v>0</v>
      </c>
      <c r="T214" s="32">
        <f t="shared" si="6"/>
        <v>0</v>
      </c>
      <c r="U214" s="33">
        <f t="shared" si="7"/>
        <v>0</v>
      </c>
    </row>
    <row r="215" spans="1:21">
      <c r="A215" s="76"/>
      <c r="B215" s="77"/>
      <c r="C215" s="81"/>
      <c r="D215" s="82"/>
      <c r="E215" s="82"/>
      <c r="F215" s="83"/>
      <c r="G215" s="84"/>
      <c r="H215" s="85"/>
      <c r="I215" s="71" t="e">
        <f>#REF!&amp;" "&amp;StaffPayroll[[#This Row],[Employee ID Number / Code]]</f>
        <v>#REF!</v>
      </c>
      <c r="J215" s="71" t="str">
        <f>_xlfn.IFNA(VLOOKUP(StaffPayroll[[#This Row],[Position / Title]],Lists!A:C,3,FALSE),"")</f>
        <v/>
      </c>
      <c r="K215" s="71">
        <f>StaffPayroll[[#This Row],[Payroll Period Ends Date (Minimum two months)]]-StaffPayroll[[#This Row],[Payroll Period Begins Date        (Must start after 6/1/2025)]]+1</f>
        <v>1</v>
      </c>
      <c r="L215" s="38">
        <f>IFERROR(IF(VLOOKUP(J215,'Facility Info Input'!$B$25:$D$34,3,FALSE)="",1,VLOOKUP(J215,'Facility Info Input'!$B$25:$D$34,3,FALSE)),0)</f>
        <v>0</v>
      </c>
      <c r="M215" s="22" t="str">
        <f>IF(StaffPayroll[[#This Row],[Employee ID Number / Code]]="","",IF(StaffPayroll[[#This Row],[Position / Title]]="","",VLOOKUP(StaffPayroll[[#This Row],[Position / Title]],Lists!A:C,2,FALSE)))</f>
        <v/>
      </c>
      <c r="N215" s="22">
        <f>IF(C215="",0,StaffPayroll[[#This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5" s="31">
        <f>IF(StaffPayroll[[#This Row],[Hourly WSB  Wage Minimum]]="",0,StaffPayroll[[#This Row],[Annual NF Wage Costs after WSB Minimum]]-StaffPayroll[[#This Row],[Annual NF Wage Costs before WSB Minimum]])</f>
        <v>0</v>
      </c>
      <c r="Q215" s="31">
        <f>IFERROR(IF(StaffPayroll[[#This Row],[Annual Cost of Wage Increase included in Rate Adjustment]]=0,0,P215*'Facility Info Input'!$F$10),0)</f>
        <v>0</v>
      </c>
      <c r="R215" s="32">
        <f>IFERROR(IF(StaffPayroll[[#This Row],[Annual Cost of Wage Increase included in Rate Adjustment]]=0,0,IF('Facility Info Input'!$F$11&lt;=0,0,P215*'Facility Info Input'!$F$11)),0)</f>
        <v>0</v>
      </c>
      <c r="S215" s="32">
        <f>IFERROR(IF(StaffPayroll[[#This Row],[Annual Cost of Wage Increase included in Rate Adjustment]]=0,0,IF('Facility Info Input'!$F$12&lt;=0,0,P215*'Facility Info Input'!$F$12)),0)</f>
        <v>0</v>
      </c>
      <c r="T215" s="32">
        <f t="shared" si="6"/>
        <v>0</v>
      </c>
      <c r="U215" s="33">
        <f t="shared" si="7"/>
        <v>0</v>
      </c>
    </row>
    <row r="216" spans="1:21">
      <c r="A216" s="76"/>
      <c r="B216" s="77"/>
      <c r="C216" s="81"/>
      <c r="D216" s="82"/>
      <c r="E216" s="82"/>
      <c r="F216" s="83"/>
      <c r="G216" s="84"/>
      <c r="H216" s="85"/>
      <c r="I216" s="71" t="e">
        <f>#REF!&amp;" "&amp;StaffPayroll[[#This Row],[Employee ID Number / Code]]</f>
        <v>#REF!</v>
      </c>
      <c r="J216" s="71" t="str">
        <f>_xlfn.IFNA(VLOOKUP(StaffPayroll[[#This Row],[Position / Title]],Lists!A:C,3,FALSE),"")</f>
        <v/>
      </c>
      <c r="K216" s="71">
        <f>StaffPayroll[[#This Row],[Payroll Period Ends Date (Minimum two months)]]-StaffPayroll[[#This Row],[Payroll Period Begins Date        (Must start after 6/1/2025)]]+1</f>
        <v>1</v>
      </c>
      <c r="L216" s="38">
        <f>IFERROR(IF(VLOOKUP(J216,'Facility Info Input'!$B$25:$D$34,3,FALSE)="",1,VLOOKUP(J216,'Facility Info Input'!$B$25:$D$34,3,FALSE)),0)</f>
        <v>0</v>
      </c>
      <c r="M216" s="22" t="str">
        <f>IF(StaffPayroll[[#This Row],[Employee ID Number / Code]]="","",IF(StaffPayroll[[#This Row],[Position / Title]]="","",VLOOKUP(StaffPayroll[[#This Row],[Position / Title]],Lists!A:C,2,FALSE)))</f>
        <v/>
      </c>
      <c r="N216" s="22">
        <f>IF(C216="",0,StaffPayroll[[#This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6" s="31">
        <f>IF(StaffPayroll[[#This Row],[Hourly WSB  Wage Minimum]]="",0,StaffPayroll[[#This Row],[Annual NF Wage Costs after WSB Minimum]]-StaffPayroll[[#This Row],[Annual NF Wage Costs before WSB Minimum]])</f>
        <v>0</v>
      </c>
      <c r="Q216" s="31">
        <f>IFERROR(IF(StaffPayroll[[#This Row],[Annual Cost of Wage Increase included in Rate Adjustment]]=0,0,P216*'Facility Info Input'!$F$10),0)</f>
        <v>0</v>
      </c>
      <c r="R216" s="32">
        <f>IFERROR(IF(StaffPayroll[[#This Row],[Annual Cost of Wage Increase included in Rate Adjustment]]=0,0,IF('Facility Info Input'!$F$11&lt;=0,0,P216*'Facility Info Input'!$F$11)),0)</f>
        <v>0</v>
      </c>
      <c r="S216" s="32">
        <f>IFERROR(IF(StaffPayroll[[#This Row],[Annual Cost of Wage Increase included in Rate Adjustment]]=0,0,IF('Facility Info Input'!$F$12&lt;=0,0,P216*'Facility Info Input'!$F$12)),0)</f>
        <v>0</v>
      </c>
      <c r="T216" s="32">
        <f t="shared" si="6"/>
        <v>0</v>
      </c>
      <c r="U216" s="33">
        <f t="shared" si="7"/>
        <v>0</v>
      </c>
    </row>
    <row r="217" spans="1:21">
      <c r="A217" s="76"/>
      <c r="B217" s="77"/>
      <c r="C217" s="81"/>
      <c r="D217" s="82"/>
      <c r="E217" s="82"/>
      <c r="F217" s="83"/>
      <c r="G217" s="84"/>
      <c r="H217" s="85"/>
      <c r="I217" s="71" t="e">
        <f>#REF!&amp;" "&amp;StaffPayroll[[#This Row],[Employee ID Number / Code]]</f>
        <v>#REF!</v>
      </c>
      <c r="J217" s="71" t="str">
        <f>_xlfn.IFNA(VLOOKUP(StaffPayroll[[#This Row],[Position / Title]],Lists!A:C,3,FALSE),"")</f>
        <v/>
      </c>
      <c r="K217" s="71">
        <f>StaffPayroll[[#This Row],[Payroll Period Ends Date (Minimum two months)]]-StaffPayroll[[#This Row],[Payroll Period Begins Date        (Must start after 6/1/2025)]]+1</f>
        <v>1</v>
      </c>
      <c r="L217" s="38">
        <f>IFERROR(IF(VLOOKUP(J217,'Facility Info Input'!$B$25:$D$34,3,FALSE)="",1,VLOOKUP(J217,'Facility Info Input'!$B$25:$D$34,3,FALSE)),0)</f>
        <v>0</v>
      </c>
      <c r="M217" s="22" t="str">
        <f>IF(StaffPayroll[[#This Row],[Employee ID Number / Code]]="","",IF(StaffPayroll[[#This Row],[Position / Title]]="","",VLOOKUP(StaffPayroll[[#This Row],[Position / Title]],Lists!A:C,2,FALSE)))</f>
        <v/>
      </c>
      <c r="N217" s="22">
        <f>IF(C217="",0,StaffPayroll[[#This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7" s="31">
        <f>IF(StaffPayroll[[#This Row],[Hourly WSB  Wage Minimum]]="",0,StaffPayroll[[#This Row],[Annual NF Wage Costs after WSB Minimum]]-StaffPayroll[[#This Row],[Annual NF Wage Costs before WSB Minimum]])</f>
        <v>0</v>
      </c>
      <c r="Q217" s="31">
        <f>IFERROR(IF(StaffPayroll[[#This Row],[Annual Cost of Wage Increase included in Rate Adjustment]]=0,0,P217*'Facility Info Input'!$F$10),0)</f>
        <v>0</v>
      </c>
      <c r="R217" s="32">
        <f>IFERROR(IF(StaffPayroll[[#This Row],[Annual Cost of Wage Increase included in Rate Adjustment]]=0,0,IF('Facility Info Input'!$F$11&lt;=0,0,P217*'Facility Info Input'!$F$11)),0)</f>
        <v>0</v>
      </c>
      <c r="S217" s="32">
        <f>IFERROR(IF(StaffPayroll[[#This Row],[Annual Cost of Wage Increase included in Rate Adjustment]]=0,0,IF('Facility Info Input'!$F$12&lt;=0,0,P217*'Facility Info Input'!$F$12)),0)</f>
        <v>0</v>
      </c>
      <c r="T217" s="32">
        <f t="shared" si="6"/>
        <v>0</v>
      </c>
      <c r="U217" s="33">
        <f t="shared" si="7"/>
        <v>0</v>
      </c>
    </row>
    <row r="218" spans="1:21">
      <c r="A218" s="76"/>
      <c r="B218" s="77"/>
      <c r="C218" s="81"/>
      <c r="D218" s="82"/>
      <c r="E218" s="82"/>
      <c r="F218" s="83"/>
      <c r="G218" s="84"/>
      <c r="H218" s="85"/>
      <c r="I218" s="71" t="e">
        <f>#REF!&amp;" "&amp;StaffPayroll[[#This Row],[Employee ID Number / Code]]</f>
        <v>#REF!</v>
      </c>
      <c r="J218" s="71" t="str">
        <f>_xlfn.IFNA(VLOOKUP(StaffPayroll[[#This Row],[Position / Title]],Lists!A:C,3,FALSE),"")</f>
        <v/>
      </c>
      <c r="K218" s="71">
        <f>StaffPayroll[[#This Row],[Payroll Period Ends Date (Minimum two months)]]-StaffPayroll[[#This Row],[Payroll Period Begins Date        (Must start after 6/1/2025)]]+1</f>
        <v>1</v>
      </c>
      <c r="L218" s="38">
        <f>IFERROR(IF(VLOOKUP(J218,'Facility Info Input'!$B$25:$D$34,3,FALSE)="",1,VLOOKUP(J218,'Facility Info Input'!$B$25:$D$34,3,FALSE)),0)</f>
        <v>0</v>
      </c>
      <c r="M218" s="22" t="str">
        <f>IF(StaffPayroll[[#This Row],[Employee ID Number / Code]]="","",IF(StaffPayroll[[#This Row],[Position / Title]]="","",VLOOKUP(StaffPayroll[[#This Row],[Position / Title]],Lists!A:C,2,FALSE)))</f>
        <v/>
      </c>
      <c r="N218" s="22">
        <f>IF(C218="",0,StaffPayroll[[#This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8" s="31">
        <f>IF(StaffPayroll[[#This Row],[Hourly WSB  Wage Minimum]]="",0,StaffPayroll[[#This Row],[Annual NF Wage Costs after WSB Minimum]]-StaffPayroll[[#This Row],[Annual NF Wage Costs before WSB Minimum]])</f>
        <v>0</v>
      </c>
      <c r="Q218" s="31">
        <f>IFERROR(IF(StaffPayroll[[#This Row],[Annual Cost of Wage Increase included in Rate Adjustment]]=0,0,P218*'Facility Info Input'!$F$10),0)</f>
        <v>0</v>
      </c>
      <c r="R218" s="32">
        <f>IFERROR(IF(StaffPayroll[[#This Row],[Annual Cost of Wage Increase included in Rate Adjustment]]=0,0,IF('Facility Info Input'!$F$11&lt;=0,0,P218*'Facility Info Input'!$F$11)),0)</f>
        <v>0</v>
      </c>
      <c r="S218" s="32">
        <f>IFERROR(IF(StaffPayroll[[#This Row],[Annual Cost of Wage Increase included in Rate Adjustment]]=0,0,IF('Facility Info Input'!$F$12&lt;=0,0,P218*'Facility Info Input'!$F$12)),0)</f>
        <v>0</v>
      </c>
      <c r="T218" s="32">
        <f t="shared" si="6"/>
        <v>0</v>
      </c>
      <c r="U218" s="33">
        <f t="shared" si="7"/>
        <v>0</v>
      </c>
    </row>
    <row r="219" spans="1:21">
      <c r="A219" s="76"/>
      <c r="B219" s="77"/>
      <c r="C219" s="81"/>
      <c r="D219" s="82"/>
      <c r="E219" s="82"/>
      <c r="F219" s="83"/>
      <c r="G219" s="84"/>
      <c r="H219" s="85"/>
      <c r="I219" s="71" t="e">
        <f>#REF!&amp;" "&amp;StaffPayroll[[#This Row],[Employee ID Number / Code]]</f>
        <v>#REF!</v>
      </c>
      <c r="J219" s="71" t="str">
        <f>_xlfn.IFNA(VLOOKUP(StaffPayroll[[#This Row],[Position / Title]],Lists!A:C,3,FALSE),"")</f>
        <v/>
      </c>
      <c r="K219" s="71">
        <f>StaffPayroll[[#This Row],[Payroll Period Ends Date (Minimum two months)]]-StaffPayroll[[#This Row],[Payroll Period Begins Date        (Must start after 6/1/2025)]]+1</f>
        <v>1</v>
      </c>
      <c r="L219" s="38">
        <f>IFERROR(IF(VLOOKUP(J219,'Facility Info Input'!$B$25:$D$34,3,FALSE)="",1,VLOOKUP(J219,'Facility Info Input'!$B$25:$D$34,3,FALSE)),0)</f>
        <v>0</v>
      </c>
      <c r="M219" s="22" t="str">
        <f>IF(StaffPayroll[[#This Row],[Employee ID Number / Code]]="","",IF(StaffPayroll[[#This Row],[Position / Title]]="","",VLOOKUP(StaffPayroll[[#This Row],[Position / Title]],Lists!A:C,2,FALSE)))</f>
        <v/>
      </c>
      <c r="N219" s="22">
        <f>IF(C219="",0,StaffPayroll[[#This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1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19" s="31">
        <f>IF(StaffPayroll[[#This Row],[Hourly WSB  Wage Minimum]]="",0,StaffPayroll[[#This Row],[Annual NF Wage Costs after WSB Minimum]]-StaffPayroll[[#This Row],[Annual NF Wage Costs before WSB Minimum]])</f>
        <v>0</v>
      </c>
      <c r="Q219" s="31">
        <f>IFERROR(IF(StaffPayroll[[#This Row],[Annual Cost of Wage Increase included in Rate Adjustment]]=0,0,P219*'Facility Info Input'!$F$10),0)</f>
        <v>0</v>
      </c>
      <c r="R219" s="32">
        <f>IFERROR(IF(StaffPayroll[[#This Row],[Annual Cost of Wage Increase included in Rate Adjustment]]=0,0,IF('Facility Info Input'!$F$11&lt;=0,0,P219*'Facility Info Input'!$F$11)),0)</f>
        <v>0</v>
      </c>
      <c r="S219" s="32">
        <f>IFERROR(IF(StaffPayroll[[#This Row],[Annual Cost of Wage Increase included in Rate Adjustment]]=0,0,IF('Facility Info Input'!$F$12&lt;=0,0,P219*'Facility Info Input'!$F$12)),0)</f>
        <v>0</v>
      </c>
      <c r="T219" s="32">
        <f t="shared" si="6"/>
        <v>0</v>
      </c>
      <c r="U219" s="33">
        <f t="shared" si="7"/>
        <v>0</v>
      </c>
    </row>
    <row r="220" spans="1:21">
      <c r="A220" s="76"/>
      <c r="B220" s="77"/>
      <c r="C220" s="81"/>
      <c r="D220" s="82"/>
      <c r="E220" s="82"/>
      <c r="F220" s="83"/>
      <c r="G220" s="84"/>
      <c r="H220" s="85"/>
      <c r="I220" s="71" t="e">
        <f>#REF!&amp;" "&amp;StaffPayroll[[#This Row],[Employee ID Number / Code]]</f>
        <v>#REF!</v>
      </c>
      <c r="J220" s="71" t="str">
        <f>_xlfn.IFNA(VLOOKUP(StaffPayroll[[#This Row],[Position / Title]],Lists!A:C,3,FALSE),"")</f>
        <v/>
      </c>
      <c r="K220" s="71">
        <f>StaffPayroll[[#This Row],[Payroll Period Ends Date (Minimum two months)]]-StaffPayroll[[#This Row],[Payroll Period Begins Date        (Must start after 6/1/2025)]]+1</f>
        <v>1</v>
      </c>
      <c r="L220" s="38">
        <f>IFERROR(IF(VLOOKUP(J220,'Facility Info Input'!$B$25:$D$34,3,FALSE)="",1,VLOOKUP(J220,'Facility Info Input'!$B$25:$D$34,3,FALSE)),0)</f>
        <v>0</v>
      </c>
      <c r="M220" s="22" t="str">
        <f>IF(StaffPayroll[[#This Row],[Employee ID Number / Code]]="","",IF(StaffPayroll[[#This Row],[Position / Title]]="","",VLOOKUP(StaffPayroll[[#This Row],[Position / Title]],Lists!A:C,2,FALSE)))</f>
        <v/>
      </c>
      <c r="N220" s="22">
        <f>IF(C220="",0,StaffPayroll[[#This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0" s="31">
        <f>IF(StaffPayroll[[#This Row],[Hourly WSB  Wage Minimum]]="",0,StaffPayroll[[#This Row],[Annual NF Wage Costs after WSB Minimum]]-StaffPayroll[[#This Row],[Annual NF Wage Costs before WSB Minimum]])</f>
        <v>0</v>
      </c>
      <c r="Q220" s="31">
        <f>IFERROR(IF(StaffPayroll[[#This Row],[Annual Cost of Wage Increase included in Rate Adjustment]]=0,0,P220*'Facility Info Input'!$F$10),0)</f>
        <v>0</v>
      </c>
      <c r="R220" s="32">
        <f>IFERROR(IF(StaffPayroll[[#This Row],[Annual Cost of Wage Increase included in Rate Adjustment]]=0,0,IF('Facility Info Input'!$F$11&lt;=0,0,P220*'Facility Info Input'!$F$11)),0)</f>
        <v>0</v>
      </c>
      <c r="S220" s="32">
        <f>IFERROR(IF(StaffPayroll[[#This Row],[Annual Cost of Wage Increase included in Rate Adjustment]]=0,0,IF('Facility Info Input'!$F$12&lt;=0,0,P220*'Facility Info Input'!$F$12)),0)</f>
        <v>0</v>
      </c>
      <c r="T220" s="32">
        <f t="shared" si="6"/>
        <v>0</v>
      </c>
      <c r="U220" s="33">
        <f t="shared" si="7"/>
        <v>0</v>
      </c>
    </row>
    <row r="221" spans="1:21">
      <c r="A221" s="76"/>
      <c r="B221" s="77"/>
      <c r="C221" s="81"/>
      <c r="D221" s="82"/>
      <c r="E221" s="82"/>
      <c r="F221" s="83"/>
      <c r="G221" s="84"/>
      <c r="H221" s="85"/>
      <c r="I221" s="71" t="e">
        <f>#REF!&amp;" "&amp;StaffPayroll[[#This Row],[Employee ID Number / Code]]</f>
        <v>#REF!</v>
      </c>
      <c r="J221" s="71" t="str">
        <f>_xlfn.IFNA(VLOOKUP(StaffPayroll[[#This Row],[Position / Title]],Lists!A:C,3,FALSE),"")</f>
        <v/>
      </c>
      <c r="K221" s="71">
        <f>StaffPayroll[[#This Row],[Payroll Period Ends Date (Minimum two months)]]-StaffPayroll[[#This Row],[Payroll Period Begins Date        (Must start after 6/1/2025)]]+1</f>
        <v>1</v>
      </c>
      <c r="L221" s="38">
        <f>IFERROR(IF(VLOOKUP(J221,'Facility Info Input'!$B$25:$D$34,3,FALSE)="",1,VLOOKUP(J221,'Facility Info Input'!$B$25:$D$34,3,FALSE)),0)</f>
        <v>0</v>
      </c>
      <c r="M221" s="22" t="str">
        <f>IF(StaffPayroll[[#This Row],[Employee ID Number / Code]]="","",IF(StaffPayroll[[#This Row],[Position / Title]]="","",VLOOKUP(StaffPayroll[[#This Row],[Position / Title]],Lists!A:C,2,FALSE)))</f>
        <v/>
      </c>
      <c r="N221" s="22">
        <f>IF(C221="",0,StaffPayroll[[#This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1" s="31">
        <f>IF(StaffPayroll[[#This Row],[Hourly WSB  Wage Minimum]]="",0,StaffPayroll[[#This Row],[Annual NF Wage Costs after WSB Minimum]]-StaffPayroll[[#This Row],[Annual NF Wage Costs before WSB Minimum]])</f>
        <v>0</v>
      </c>
      <c r="Q221" s="31">
        <f>IFERROR(IF(StaffPayroll[[#This Row],[Annual Cost of Wage Increase included in Rate Adjustment]]=0,0,P221*'Facility Info Input'!$F$10),0)</f>
        <v>0</v>
      </c>
      <c r="R221" s="32">
        <f>IFERROR(IF(StaffPayroll[[#This Row],[Annual Cost of Wage Increase included in Rate Adjustment]]=0,0,IF('Facility Info Input'!$F$11&lt;=0,0,P221*'Facility Info Input'!$F$11)),0)</f>
        <v>0</v>
      </c>
      <c r="S221" s="32">
        <f>IFERROR(IF(StaffPayroll[[#This Row],[Annual Cost of Wage Increase included in Rate Adjustment]]=0,0,IF('Facility Info Input'!$F$12&lt;=0,0,P221*'Facility Info Input'!$F$12)),0)</f>
        <v>0</v>
      </c>
      <c r="T221" s="32">
        <f t="shared" si="6"/>
        <v>0</v>
      </c>
      <c r="U221" s="33">
        <f t="shared" si="7"/>
        <v>0</v>
      </c>
    </row>
    <row r="222" spans="1:21">
      <c r="A222" s="76"/>
      <c r="B222" s="77"/>
      <c r="C222" s="81"/>
      <c r="D222" s="82"/>
      <c r="E222" s="82"/>
      <c r="F222" s="83"/>
      <c r="G222" s="84"/>
      <c r="H222" s="85"/>
      <c r="I222" s="71" t="e">
        <f>#REF!&amp;" "&amp;StaffPayroll[[#This Row],[Employee ID Number / Code]]</f>
        <v>#REF!</v>
      </c>
      <c r="J222" s="71" t="str">
        <f>_xlfn.IFNA(VLOOKUP(StaffPayroll[[#This Row],[Position / Title]],Lists!A:C,3,FALSE),"")</f>
        <v/>
      </c>
      <c r="K222" s="71">
        <f>StaffPayroll[[#This Row],[Payroll Period Ends Date (Minimum two months)]]-StaffPayroll[[#This Row],[Payroll Period Begins Date        (Must start after 6/1/2025)]]+1</f>
        <v>1</v>
      </c>
      <c r="L222" s="38">
        <f>IFERROR(IF(VLOOKUP(J222,'Facility Info Input'!$B$25:$D$34,3,FALSE)="",1,VLOOKUP(J222,'Facility Info Input'!$B$25:$D$34,3,FALSE)),0)</f>
        <v>0</v>
      </c>
      <c r="M222" s="22" t="str">
        <f>IF(StaffPayroll[[#This Row],[Employee ID Number / Code]]="","",IF(StaffPayroll[[#This Row],[Position / Title]]="","",VLOOKUP(StaffPayroll[[#This Row],[Position / Title]],Lists!A:C,2,FALSE)))</f>
        <v/>
      </c>
      <c r="N222" s="22">
        <f>IF(C222="",0,StaffPayroll[[#This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2" s="31">
        <f>IF(StaffPayroll[[#This Row],[Hourly WSB  Wage Minimum]]="",0,StaffPayroll[[#This Row],[Annual NF Wage Costs after WSB Minimum]]-StaffPayroll[[#This Row],[Annual NF Wage Costs before WSB Minimum]])</f>
        <v>0</v>
      </c>
      <c r="Q222" s="31">
        <f>IFERROR(IF(StaffPayroll[[#This Row],[Annual Cost of Wage Increase included in Rate Adjustment]]=0,0,P222*'Facility Info Input'!$F$10),0)</f>
        <v>0</v>
      </c>
      <c r="R222" s="32">
        <f>IFERROR(IF(StaffPayroll[[#This Row],[Annual Cost of Wage Increase included in Rate Adjustment]]=0,0,IF('Facility Info Input'!$F$11&lt;=0,0,P222*'Facility Info Input'!$F$11)),0)</f>
        <v>0</v>
      </c>
      <c r="S222" s="32">
        <f>IFERROR(IF(StaffPayroll[[#This Row],[Annual Cost of Wage Increase included in Rate Adjustment]]=0,0,IF('Facility Info Input'!$F$12&lt;=0,0,P222*'Facility Info Input'!$F$12)),0)</f>
        <v>0</v>
      </c>
      <c r="T222" s="32">
        <f t="shared" si="6"/>
        <v>0</v>
      </c>
      <c r="U222" s="33">
        <f t="shared" si="7"/>
        <v>0</v>
      </c>
    </row>
    <row r="223" spans="1:21">
      <c r="A223" s="76"/>
      <c r="B223" s="77"/>
      <c r="C223" s="81"/>
      <c r="D223" s="82"/>
      <c r="E223" s="82"/>
      <c r="F223" s="83"/>
      <c r="G223" s="84"/>
      <c r="H223" s="85"/>
      <c r="I223" s="71" t="e">
        <f>#REF!&amp;" "&amp;StaffPayroll[[#This Row],[Employee ID Number / Code]]</f>
        <v>#REF!</v>
      </c>
      <c r="J223" s="71" t="str">
        <f>_xlfn.IFNA(VLOOKUP(StaffPayroll[[#This Row],[Position / Title]],Lists!A:C,3,FALSE),"")</f>
        <v/>
      </c>
      <c r="K223" s="71">
        <f>StaffPayroll[[#This Row],[Payroll Period Ends Date (Minimum two months)]]-StaffPayroll[[#This Row],[Payroll Period Begins Date        (Must start after 6/1/2025)]]+1</f>
        <v>1</v>
      </c>
      <c r="L223" s="38">
        <f>IFERROR(IF(VLOOKUP(J223,'Facility Info Input'!$B$25:$D$34,3,FALSE)="",1,VLOOKUP(J223,'Facility Info Input'!$B$25:$D$34,3,FALSE)),0)</f>
        <v>0</v>
      </c>
      <c r="M223" s="22" t="str">
        <f>IF(StaffPayroll[[#This Row],[Employee ID Number / Code]]="","",IF(StaffPayroll[[#This Row],[Position / Title]]="","",VLOOKUP(StaffPayroll[[#This Row],[Position / Title]],Lists!A:C,2,FALSE)))</f>
        <v/>
      </c>
      <c r="N223" s="22">
        <f>IF(C223="",0,StaffPayroll[[#This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3" s="31">
        <f>IF(StaffPayroll[[#This Row],[Hourly WSB  Wage Minimum]]="",0,StaffPayroll[[#This Row],[Annual NF Wage Costs after WSB Minimum]]-StaffPayroll[[#This Row],[Annual NF Wage Costs before WSB Minimum]])</f>
        <v>0</v>
      </c>
      <c r="Q223" s="31">
        <f>IFERROR(IF(StaffPayroll[[#This Row],[Annual Cost of Wage Increase included in Rate Adjustment]]=0,0,P223*'Facility Info Input'!$F$10),0)</f>
        <v>0</v>
      </c>
      <c r="R223" s="32">
        <f>IFERROR(IF(StaffPayroll[[#This Row],[Annual Cost of Wage Increase included in Rate Adjustment]]=0,0,IF('Facility Info Input'!$F$11&lt;=0,0,P223*'Facility Info Input'!$F$11)),0)</f>
        <v>0</v>
      </c>
      <c r="S223" s="32">
        <f>IFERROR(IF(StaffPayroll[[#This Row],[Annual Cost of Wage Increase included in Rate Adjustment]]=0,0,IF('Facility Info Input'!$F$12&lt;=0,0,P223*'Facility Info Input'!$F$12)),0)</f>
        <v>0</v>
      </c>
      <c r="T223" s="32">
        <f t="shared" si="6"/>
        <v>0</v>
      </c>
      <c r="U223" s="33">
        <f t="shared" si="7"/>
        <v>0</v>
      </c>
    </row>
    <row r="224" spans="1:21">
      <c r="A224" s="76"/>
      <c r="B224" s="77"/>
      <c r="C224" s="81"/>
      <c r="D224" s="82"/>
      <c r="E224" s="82"/>
      <c r="F224" s="83"/>
      <c r="G224" s="84"/>
      <c r="H224" s="85"/>
      <c r="I224" s="71" t="e">
        <f>#REF!&amp;" "&amp;StaffPayroll[[#This Row],[Employee ID Number / Code]]</f>
        <v>#REF!</v>
      </c>
      <c r="J224" s="71" t="str">
        <f>_xlfn.IFNA(VLOOKUP(StaffPayroll[[#This Row],[Position / Title]],Lists!A:C,3,FALSE),"")</f>
        <v/>
      </c>
      <c r="K224" s="71">
        <f>StaffPayroll[[#This Row],[Payroll Period Ends Date (Minimum two months)]]-StaffPayroll[[#This Row],[Payroll Period Begins Date        (Must start after 6/1/2025)]]+1</f>
        <v>1</v>
      </c>
      <c r="L224" s="38">
        <f>IFERROR(IF(VLOOKUP(J224,'Facility Info Input'!$B$25:$D$34,3,FALSE)="",1,VLOOKUP(J224,'Facility Info Input'!$B$25:$D$34,3,FALSE)),0)</f>
        <v>0</v>
      </c>
      <c r="M224" s="22" t="str">
        <f>IF(StaffPayroll[[#This Row],[Employee ID Number / Code]]="","",IF(StaffPayroll[[#This Row],[Position / Title]]="","",VLOOKUP(StaffPayroll[[#This Row],[Position / Title]],Lists!A:C,2,FALSE)))</f>
        <v/>
      </c>
      <c r="N224" s="22">
        <f>IF(C224="",0,StaffPayroll[[#This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4" s="31">
        <f>IF(StaffPayroll[[#This Row],[Hourly WSB  Wage Minimum]]="",0,StaffPayroll[[#This Row],[Annual NF Wage Costs after WSB Minimum]]-StaffPayroll[[#This Row],[Annual NF Wage Costs before WSB Minimum]])</f>
        <v>0</v>
      </c>
      <c r="Q224" s="31">
        <f>IFERROR(IF(StaffPayroll[[#This Row],[Annual Cost of Wage Increase included in Rate Adjustment]]=0,0,P224*'Facility Info Input'!$F$10),0)</f>
        <v>0</v>
      </c>
      <c r="R224" s="32">
        <f>IFERROR(IF(StaffPayroll[[#This Row],[Annual Cost of Wage Increase included in Rate Adjustment]]=0,0,IF('Facility Info Input'!$F$11&lt;=0,0,P224*'Facility Info Input'!$F$11)),0)</f>
        <v>0</v>
      </c>
      <c r="S224" s="32">
        <f>IFERROR(IF(StaffPayroll[[#This Row],[Annual Cost of Wage Increase included in Rate Adjustment]]=0,0,IF('Facility Info Input'!$F$12&lt;=0,0,P224*'Facility Info Input'!$F$12)),0)</f>
        <v>0</v>
      </c>
      <c r="T224" s="32">
        <f t="shared" si="6"/>
        <v>0</v>
      </c>
      <c r="U224" s="33">
        <f t="shared" si="7"/>
        <v>0</v>
      </c>
    </row>
    <row r="225" spans="1:21">
      <c r="A225" s="76"/>
      <c r="B225" s="77"/>
      <c r="C225" s="81"/>
      <c r="D225" s="82"/>
      <c r="E225" s="82"/>
      <c r="F225" s="83"/>
      <c r="G225" s="84"/>
      <c r="H225" s="85"/>
      <c r="I225" s="71" t="e">
        <f>#REF!&amp;" "&amp;StaffPayroll[[#This Row],[Employee ID Number / Code]]</f>
        <v>#REF!</v>
      </c>
      <c r="J225" s="71" t="str">
        <f>_xlfn.IFNA(VLOOKUP(StaffPayroll[[#This Row],[Position / Title]],Lists!A:C,3,FALSE),"")</f>
        <v/>
      </c>
      <c r="K225" s="71">
        <f>StaffPayroll[[#This Row],[Payroll Period Ends Date (Minimum two months)]]-StaffPayroll[[#This Row],[Payroll Period Begins Date        (Must start after 6/1/2025)]]+1</f>
        <v>1</v>
      </c>
      <c r="L225" s="38">
        <f>IFERROR(IF(VLOOKUP(J225,'Facility Info Input'!$B$25:$D$34,3,FALSE)="",1,VLOOKUP(J225,'Facility Info Input'!$B$25:$D$34,3,FALSE)),0)</f>
        <v>0</v>
      </c>
      <c r="M225" s="22" t="str">
        <f>IF(StaffPayroll[[#This Row],[Employee ID Number / Code]]="","",IF(StaffPayroll[[#This Row],[Position / Title]]="","",VLOOKUP(StaffPayroll[[#This Row],[Position / Title]],Lists!A:C,2,FALSE)))</f>
        <v/>
      </c>
      <c r="N225" s="22">
        <f>IF(C225="",0,StaffPayroll[[#This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5" s="31">
        <f>IF(StaffPayroll[[#This Row],[Hourly WSB  Wage Minimum]]="",0,StaffPayroll[[#This Row],[Annual NF Wage Costs after WSB Minimum]]-StaffPayroll[[#This Row],[Annual NF Wage Costs before WSB Minimum]])</f>
        <v>0</v>
      </c>
      <c r="Q225" s="31">
        <f>IFERROR(IF(StaffPayroll[[#This Row],[Annual Cost of Wage Increase included in Rate Adjustment]]=0,0,P225*'Facility Info Input'!$F$10),0)</f>
        <v>0</v>
      </c>
      <c r="R225" s="32">
        <f>IFERROR(IF(StaffPayroll[[#This Row],[Annual Cost of Wage Increase included in Rate Adjustment]]=0,0,IF('Facility Info Input'!$F$11&lt;=0,0,P225*'Facility Info Input'!$F$11)),0)</f>
        <v>0</v>
      </c>
      <c r="S225" s="32">
        <f>IFERROR(IF(StaffPayroll[[#This Row],[Annual Cost of Wage Increase included in Rate Adjustment]]=0,0,IF('Facility Info Input'!$F$12&lt;=0,0,P225*'Facility Info Input'!$F$12)),0)</f>
        <v>0</v>
      </c>
      <c r="T225" s="32">
        <f t="shared" si="6"/>
        <v>0</v>
      </c>
      <c r="U225" s="33">
        <f t="shared" si="7"/>
        <v>0</v>
      </c>
    </row>
    <row r="226" spans="1:21">
      <c r="A226" s="76"/>
      <c r="B226" s="77"/>
      <c r="C226" s="81"/>
      <c r="D226" s="82"/>
      <c r="E226" s="82"/>
      <c r="F226" s="83"/>
      <c r="G226" s="84"/>
      <c r="H226" s="85"/>
      <c r="I226" s="71" t="e">
        <f>#REF!&amp;" "&amp;StaffPayroll[[#This Row],[Employee ID Number / Code]]</f>
        <v>#REF!</v>
      </c>
      <c r="J226" s="71" t="str">
        <f>_xlfn.IFNA(VLOOKUP(StaffPayroll[[#This Row],[Position / Title]],Lists!A:C,3,FALSE),"")</f>
        <v/>
      </c>
      <c r="K226" s="71">
        <f>StaffPayroll[[#This Row],[Payroll Period Ends Date (Minimum two months)]]-StaffPayroll[[#This Row],[Payroll Period Begins Date        (Must start after 6/1/2025)]]+1</f>
        <v>1</v>
      </c>
      <c r="L226" s="38">
        <f>IFERROR(IF(VLOOKUP(J226,'Facility Info Input'!$B$25:$D$34,3,FALSE)="",1,VLOOKUP(J226,'Facility Info Input'!$B$25:$D$34,3,FALSE)),0)</f>
        <v>0</v>
      </c>
      <c r="M226" s="22" t="str">
        <f>IF(StaffPayroll[[#This Row],[Employee ID Number / Code]]="","",IF(StaffPayroll[[#This Row],[Position / Title]]="","",VLOOKUP(StaffPayroll[[#This Row],[Position / Title]],Lists!A:C,2,FALSE)))</f>
        <v/>
      </c>
      <c r="N226" s="22">
        <f>IF(C226="",0,StaffPayroll[[#This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6" s="31">
        <f>IF(StaffPayroll[[#This Row],[Hourly WSB  Wage Minimum]]="",0,StaffPayroll[[#This Row],[Annual NF Wage Costs after WSB Minimum]]-StaffPayroll[[#This Row],[Annual NF Wage Costs before WSB Minimum]])</f>
        <v>0</v>
      </c>
      <c r="Q226" s="31">
        <f>IFERROR(IF(StaffPayroll[[#This Row],[Annual Cost of Wage Increase included in Rate Adjustment]]=0,0,P226*'Facility Info Input'!$F$10),0)</f>
        <v>0</v>
      </c>
      <c r="R226" s="32">
        <f>IFERROR(IF(StaffPayroll[[#This Row],[Annual Cost of Wage Increase included in Rate Adjustment]]=0,0,IF('Facility Info Input'!$F$11&lt;=0,0,P226*'Facility Info Input'!$F$11)),0)</f>
        <v>0</v>
      </c>
      <c r="S226" s="32">
        <f>IFERROR(IF(StaffPayroll[[#This Row],[Annual Cost of Wage Increase included in Rate Adjustment]]=0,0,IF('Facility Info Input'!$F$12&lt;=0,0,P226*'Facility Info Input'!$F$12)),0)</f>
        <v>0</v>
      </c>
      <c r="T226" s="32">
        <f t="shared" si="6"/>
        <v>0</v>
      </c>
      <c r="U226" s="33">
        <f t="shared" si="7"/>
        <v>0</v>
      </c>
    </row>
    <row r="227" spans="1:21">
      <c r="A227" s="76"/>
      <c r="B227" s="77"/>
      <c r="C227" s="81"/>
      <c r="D227" s="82"/>
      <c r="E227" s="82"/>
      <c r="F227" s="83"/>
      <c r="G227" s="84"/>
      <c r="H227" s="85"/>
      <c r="I227" s="71" t="e">
        <f>#REF!&amp;" "&amp;StaffPayroll[[#This Row],[Employee ID Number / Code]]</f>
        <v>#REF!</v>
      </c>
      <c r="J227" s="71" t="str">
        <f>_xlfn.IFNA(VLOOKUP(StaffPayroll[[#This Row],[Position / Title]],Lists!A:C,3,FALSE),"")</f>
        <v/>
      </c>
      <c r="K227" s="71">
        <f>StaffPayroll[[#This Row],[Payroll Period Ends Date (Minimum two months)]]-StaffPayroll[[#This Row],[Payroll Period Begins Date        (Must start after 6/1/2025)]]+1</f>
        <v>1</v>
      </c>
      <c r="L227" s="38">
        <f>IFERROR(IF(VLOOKUP(J227,'Facility Info Input'!$B$25:$D$34,3,FALSE)="",1,VLOOKUP(J227,'Facility Info Input'!$B$25:$D$34,3,FALSE)),0)</f>
        <v>0</v>
      </c>
      <c r="M227" s="22" t="str">
        <f>IF(StaffPayroll[[#This Row],[Employee ID Number / Code]]="","",IF(StaffPayroll[[#This Row],[Position / Title]]="","",VLOOKUP(StaffPayroll[[#This Row],[Position / Title]],Lists!A:C,2,FALSE)))</f>
        <v/>
      </c>
      <c r="N227" s="22">
        <f>IF(C227="",0,StaffPayroll[[#This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7" s="31">
        <f>IF(StaffPayroll[[#This Row],[Hourly WSB  Wage Minimum]]="",0,StaffPayroll[[#This Row],[Annual NF Wage Costs after WSB Minimum]]-StaffPayroll[[#This Row],[Annual NF Wage Costs before WSB Minimum]])</f>
        <v>0</v>
      </c>
      <c r="Q227" s="31">
        <f>IFERROR(IF(StaffPayroll[[#This Row],[Annual Cost of Wage Increase included in Rate Adjustment]]=0,0,P227*'Facility Info Input'!$F$10),0)</f>
        <v>0</v>
      </c>
      <c r="R227" s="32">
        <f>IFERROR(IF(StaffPayroll[[#This Row],[Annual Cost of Wage Increase included in Rate Adjustment]]=0,0,IF('Facility Info Input'!$F$11&lt;=0,0,P227*'Facility Info Input'!$F$11)),0)</f>
        <v>0</v>
      </c>
      <c r="S227" s="32">
        <f>IFERROR(IF(StaffPayroll[[#This Row],[Annual Cost of Wage Increase included in Rate Adjustment]]=0,0,IF('Facility Info Input'!$F$12&lt;=0,0,P227*'Facility Info Input'!$F$12)),0)</f>
        <v>0</v>
      </c>
      <c r="T227" s="32">
        <f t="shared" si="6"/>
        <v>0</v>
      </c>
      <c r="U227" s="33">
        <f t="shared" si="7"/>
        <v>0</v>
      </c>
    </row>
    <row r="228" spans="1:21">
      <c r="A228" s="76"/>
      <c r="B228" s="77"/>
      <c r="C228" s="81"/>
      <c r="D228" s="82"/>
      <c r="E228" s="82"/>
      <c r="F228" s="83"/>
      <c r="G228" s="84"/>
      <c r="H228" s="85"/>
      <c r="I228" s="71" t="e">
        <f>#REF!&amp;" "&amp;StaffPayroll[[#This Row],[Employee ID Number / Code]]</f>
        <v>#REF!</v>
      </c>
      <c r="J228" s="71" t="str">
        <f>_xlfn.IFNA(VLOOKUP(StaffPayroll[[#This Row],[Position / Title]],Lists!A:C,3,FALSE),"")</f>
        <v/>
      </c>
      <c r="K228" s="71">
        <f>StaffPayroll[[#This Row],[Payroll Period Ends Date (Minimum two months)]]-StaffPayroll[[#This Row],[Payroll Period Begins Date        (Must start after 6/1/2025)]]+1</f>
        <v>1</v>
      </c>
      <c r="L228" s="38">
        <f>IFERROR(IF(VLOOKUP(J228,'Facility Info Input'!$B$25:$D$34,3,FALSE)="",1,VLOOKUP(J228,'Facility Info Input'!$B$25:$D$34,3,FALSE)),0)</f>
        <v>0</v>
      </c>
      <c r="M228" s="22" t="str">
        <f>IF(StaffPayroll[[#This Row],[Employee ID Number / Code]]="","",IF(StaffPayroll[[#This Row],[Position / Title]]="","",VLOOKUP(StaffPayroll[[#This Row],[Position / Title]],Lists!A:C,2,FALSE)))</f>
        <v/>
      </c>
      <c r="N228" s="22">
        <f>IF(C228="",0,StaffPayroll[[#This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8" s="31">
        <f>IF(StaffPayroll[[#This Row],[Hourly WSB  Wage Minimum]]="",0,StaffPayroll[[#This Row],[Annual NF Wage Costs after WSB Minimum]]-StaffPayroll[[#This Row],[Annual NF Wage Costs before WSB Minimum]])</f>
        <v>0</v>
      </c>
      <c r="Q228" s="31">
        <f>IFERROR(IF(StaffPayroll[[#This Row],[Annual Cost of Wage Increase included in Rate Adjustment]]=0,0,P228*'Facility Info Input'!$F$10),0)</f>
        <v>0</v>
      </c>
      <c r="R228" s="32">
        <f>IFERROR(IF(StaffPayroll[[#This Row],[Annual Cost of Wage Increase included in Rate Adjustment]]=0,0,IF('Facility Info Input'!$F$11&lt;=0,0,P228*'Facility Info Input'!$F$11)),0)</f>
        <v>0</v>
      </c>
      <c r="S228" s="32">
        <f>IFERROR(IF(StaffPayroll[[#This Row],[Annual Cost of Wage Increase included in Rate Adjustment]]=0,0,IF('Facility Info Input'!$F$12&lt;=0,0,P228*'Facility Info Input'!$F$12)),0)</f>
        <v>0</v>
      </c>
      <c r="T228" s="32">
        <f t="shared" si="6"/>
        <v>0</v>
      </c>
      <c r="U228" s="33">
        <f t="shared" si="7"/>
        <v>0</v>
      </c>
    </row>
    <row r="229" spans="1:21">
      <c r="A229" s="76"/>
      <c r="B229" s="77"/>
      <c r="C229" s="81"/>
      <c r="D229" s="82"/>
      <c r="E229" s="82"/>
      <c r="F229" s="83"/>
      <c r="G229" s="84"/>
      <c r="H229" s="85"/>
      <c r="I229" s="71" t="e">
        <f>#REF!&amp;" "&amp;StaffPayroll[[#This Row],[Employee ID Number / Code]]</f>
        <v>#REF!</v>
      </c>
      <c r="J229" s="71" t="str">
        <f>_xlfn.IFNA(VLOOKUP(StaffPayroll[[#This Row],[Position / Title]],Lists!A:C,3,FALSE),"")</f>
        <v/>
      </c>
      <c r="K229" s="71">
        <f>StaffPayroll[[#This Row],[Payroll Period Ends Date (Minimum two months)]]-StaffPayroll[[#This Row],[Payroll Period Begins Date        (Must start after 6/1/2025)]]+1</f>
        <v>1</v>
      </c>
      <c r="L229" s="38">
        <f>IFERROR(IF(VLOOKUP(J229,'Facility Info Input'!$B$25:$D$34,3,FALSE)="",1,VLOOKUP(J229,'Facility Info Input'!$B$25:$D$34,3,FALSE)),0)</f>
        <v>0</v>
      </c>
      <c r="M229" s="22" t="str">
        <f>IF(StaffPayroll[[#This Row],[Employee ID Number / Code]]="","",IF(StaffPayroll[[#This Row],[Position / Title]]="","",VLOOKUP(StaffPayroll[[#This Row],[Position / Title]],Lists!A:C,2,FALSE)))</f>
        <v/>
      </c>
      <c r="N229" s="22">
        <f>IF(C229="",0,StaffPayroll[[#This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2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29" s="31">
        <f>IF(StaffPayroll[[#This Row],[Hourly WSB  Wage Minimum]]="",0,StaffPayroll[[#This Row],[Annual NF Wage Costs after WSB Minimum]]-StaffPayroll[[#This Row],[Annual NF Wage Costs before WSB Minimum]])</f>
        <v>0</v>
      </c>
      <c r="Q229" s="31">
        <f>IFERROR(IF(StaffPayroll[[#This Row],[Annual Cost of Wage Increase included in Rate Adjustment]]=0,0,P229*'Facility Info Input'!$F$10),0)</f>
        <v>0</v>
      </c>
      <c r="R229" s="32">
        <f>IFERROR(IF(StaffPayroll[[#This Row],[Annual Cost of Wage Increase included in Rate Adjustment]]=0,0,IF('Facility Info Input'!$F$11&lt;=0,0,P229*'Facility Info Input'!$F$11)),0)</f>
        <v>0</v>
      </c>
      <c r="S229" s="32">
        <f>IFERROR(IF(StaffPayroll[[#This Row],[Annual Cost of Wage Increase included in Rate Adjustment]]=0,0,IF('Facility Info Input'!$F$12&lt;=0,0,P229*'Facility Info Input'!$F$12)),0)</f>
        <v>0</v>
      </c>
      <c r="T229" s="32">
        <f t="shared" si="6"/>
        <v>0</v>
      </c>
      <c r="U229" s="33">
        <f t="shared" si="7"/>
        <v>0</v>
      </c>
    </row>
    <row r="230" spans="1:21">
      <c r="A230" s="76"/>
      <c r="B230" s="77"/>
      <c r="C230" s="81"/>
      <c r="D230" s="82"/>
      <c r="E230" s="82"/>
      <c r="F230" s="83"/>
      <c r="G230" s="84"/>
      <c r="H230" s="85"/>
      <c r="I230" s="71" t="e">
        <f>#REF!&amp;" "&amp;StaffPayroll[[#This Row],[Employee ID Number / Code]]</f>
        <v>#REF!</v>
      </c>
      <c r="J230" s="71" t="str">
        <f>_xlfn.IFNA(VLOOKUP(StaffPayroll[[#This Row],[Position / Title]],Lists!A:C,3,FALSE),"")</f>
        <v/>
      </c>
      <c r="K230" s="71">
        <f>StaffPayroll[[#This Row],[Payroll Period Ends Date (Minimum two months)]]-StaffPayroll[[#This Row],[Payroll Period Begins Date        (Must start after 6/1/2025)]]+1</f>
        <v>1</v>
      </c>
      <c r="L230" s="38">
        <f>IFERROR(IF(VLOOKUP(J230,'Facility Info Input'!$B$25:$D$34,3,FALSE)="",1,VLOOKUP(J230,'Facility Info Input'!$B$25:$D$34,3,FALSE)),0)</f>
        <v>0</v>
      </c>
      <c r="M230" s="22" t="str">
        <f>IF(StaffPayroll[[#This Row],[Employee ID Number / Code]]="","",IF(StaffPayroll[[#This Row],[Position / Title]]="","",VLOOKUP(StaffPayroll[[#This Row],[Position / Title]],Lists!A:C,2,FALSE)))</f>
        <v/>
      </c>
      <c r="N230" s="22">
        <f>IF(C230="",0,StaffPayroll[[#This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0" s="31">
        <f>IF(StaffPayroll[[#This Row],[Hourly WSB  Wage Minimum]]="",0,StaffPayroll[[#This Row],[Annual NF Wage Costs after WSB Minimum]]-StaffPayroll[[#This Row],[Annual NF Wage Costs before WSB Minimum]])</f>
        <v>0</v>
      </c>
      <c r="Q230" s="31">
        <f>IFERROR(IF(StaffPayroll[[#This Row],[Annual Cost of Wage Increase included in Rate Adjustment]]=0,0,P230*'Facility Info Input'!$F$10),0)</f>
        <v>0</v>
      </c>
      <c r="R230" s="32">
        <f>IFERROR(IF(StaffPayroll[[#This Row],[Annual Cost of Wage Increase included in Rate Adjustment]]=0,0,IF('Facility Info Input'!$F$11&lt;=0,0,P230*'Facility Info Input'!$F$11)),0)</f>
        <v>0</v>
      </c>
      <c r="S230" s="32">
        <f>IFERROR(IF(StaffPayroll[[#This Row],[Annual Cost of Wage Increase included in Rate Adjustment]]=0,0,IF('Facility Info Input'!$F$12&lt;=0,0,P230*'Facility Info Input'!$F$12)),0)</f>
        <v>0</v>
      </c>
      <c r="T230" s="32">
        <f t="shared" si="6"/>
        <v>0</v>
      </c>
      <c r="U230" s="33">
        <f t="shared" si="7"/>
        <v>0</v>
      </c>
    </row>
    <row r="231" spans="1:21">
      <c r="A231" s="76"/>
      <c r="B231" s="77"/>
      <c r="C231" s="81"/>
      <c r="D231" s="82"/>
      <c r="E231" s="82"/>
      <c r="F231" s="83"/>
      <c r="G231" s="84"/>
      <c r="H231" s="85"/>
      <c r="I231" s="71" t="e">
        <f>#REF!&amp;" "&amp;StaffPayroll[[#This Row],[Employee ID Number / Code]]</f>
        <v>#REF!</v>
      </c>
      <c r="J231" s="71" t="str">
        <f>_xlfn.IFNA(VLOOKUP(StaffPayroll[[#This Row],[Position / Title]],Lists!A:C,3,FALSE),"")</f>
        <v/>
      </c>
      <c r="K231" s="71">
        <f>StaffPayroll[[#This Row],[Payroll Period Ends Date (Minimum two months)]]-StaffPayroll[[#This Row],[Payroll Period Begins Date        (Must start after 6/1/2025)]]+1</f>
        <v>1</v>
      </c>
      <c r="L231" s="38">
        <f>IFERROR(IF(VLOOKUP(J231,'Facility Info Input'!$B$25:$D$34,3,FALSE)="",1,VLOOKUP(J231,'Facility Info Input'!$B$25:$D$34,3,FALSE)),0)</f>
        <v>0</v>
      </c>
      <c r="M231" s="22" t="str">
        <f>IF(StaffPayroll[[#This Row],[Employee ID Number / Code]]="","",IF(StaffPayroll[[#This Row],[Position / Title]]="","",VLOOKUP(StaffPayroll[[#This Row],[Position / Title]],Lists!A:C,2,FALSE)))</f>
        <v/>
      </c>
      <c r="N231" s="22">
        <f>IF(C231="",0,StaffPayroll[[#This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1" s="31">
        <f>IF(StaffPayroll[[#This Row],[Hourly WSB  Wage Minimum]]="",0,StaffPayroll[[#This Row],[Annual NF Wage Costs after WSB Minimum]]-StaffPayroll[[#This Row],[Annual NF Wage Costs before WSB Minimum]])</f>
        <v>0</v>
      </c>
      <c r="Q231" s="31">
        <f>IFERROR(IF(StaffPayroll[[#This Row],[Annual Cost of Wage Increase included in Rate Adjustment]]=0,0,P231*'Facility Info Input'!$F$10),0)</f>
        <v>0</v>
      </c>
      <c r="R231" s="32">
        <f>IFERROR(IF(StaffPayroll[[#This Row],[Annual Cost of Wage Increase included in Rate Adjustment]]=0,0,IF('Facility Info Input'!$F$11&lt;=0,0,P231*'Facility Info Input'!$F$11)),0)</f>
        <v>0</v>
      </c>
      <c r="S231" s="32">
        <f>IFERROR(IF(StaffPayroll[[#This Row],[Annual Cost of Wage Increase included in Rate Adjustment]]=0,0,IF('Facility Info Input'!$F$12&lt;=0,0,P231*'Facility Info Input'!$F$12)),0)</f>
        <v>0</v>
      </c>
      <c r="T231" s="32">
        <f t="shared" si="6"/>
        <v>0</v>
      </c>
      <c r="U231" s="33">
        <f t="shared" si="7"/>
        <v>0</v>
      </c>
    </row>
    <row r="232" spans="1:21">
      <c r="A232" s="76"/>
      <c r="B232" s="77"/>
      <c r="C232" s="81"/>
      <c r="D232" s="82"/>
      <c r="E232" s="82"/>
      <c r="F232" s="83"/>
      <c r="G232" s="84"/>
      <c r="H232" s="85"/>
      <c r="I232" s="71" t="e">
        <f>#REF!&amp;" "&amp;StaffPayroll[[#This Row],[Employee ID Number / Code]]</f>
        <v>#REF!</v>
      </c>
      <c r="J232" s="71" t="str">
        <f>_xlfn.IFNA(VLOOKUP(StaffPayroll[[#This Row],[Position / Title]],Lists!A:C,3,FALSE),"")</f>
        <v/>
      </c>
      <c r="K232" s="71">
        <f>StaffPayroll[[#This Row],[Payroll Period Ends Date (Minimum two months)]]-StaffPayroll[[#This Row],[Payroll Period Begins Date        (Must start after 6/1/2025)]]+1</f>
        <v>1</v>
      </c>
      <c r="L232" s="38">
        <f>IFERROR(IF(VLOOKUP(J232,'Facility Info Input'!$B$25:$D$34,3,FALSE)="",1,VLOOKUP(J232,'Facility Info Input'!$B$25:$D$34,3,FALSE)),0)</f>
        <v>0</v>
      </c>
      <c r="M232" s="22" t="str">
        <f>IF(StaffPayroll[[#This Row],[Employee ID Number / Code]]="","",IF(StaffPayroll[[#This Row],[Position / Title]]="","",VLOOKUP(StaffPayroll[[#This Row],[Position / Title]],Lists!A:C,2,FALSE)))</f>
        <v/>
      </c>
      <c r="N232" s="22">
        <f>IF(C232="",0,StaffPayroll[[#This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2" s="31">
        <f>IF(StaffPayroll[[#This Row],[Hourly WSB  Wage Minimum]]="",0,StaffPayroll[[#This Row],[Annual NF Wage Costs after WSB Minimum]]-StaffPayroll[[#This Row],[Annual NF Wage Costs before WSB Minimum]])</f>
        <v>0</v>
      </c>
      <c r="Q232" s="31">
        <f>IFERROR(IF(StaffPayroll[[#This Row],[Annual Cost of Wage Increase included in Rate Adjustment]]=0,0,P232*'Facility Info Input'!$F$10),0)</f>
        <v>0</v>
      </c>
      <c r="R232" s="32">
        <f>IFERROR(IF(StaffPayroll[[#This Row],[Annual Cost of Wage Increase included in Rate Adjustment]]=0,0,IF('Facility Info Input'!$F$11&lt;=0,0,P232*'Facility Info Input'!$F$11)),0)</f>
        <v>0</v>
      </c>
      <c r="S232" s="32">
        <f>IFERROR(IF(StaffPayroll[[#This Row],[Annual Cost of Wage Increase included in Rate Adjustment]]=0,0,IF('Facility Info Input'!$F$12&lt;=0,0,P232*'Facility Info Input'!$F$12)),0)</f>
        <v>0</v>
      </c>
      <c r="T232" s="32">
        <f t="shared" si="6"/>
        <v>0</v>
      </c>
      <c r="U232" s="33">
        <f t="shared" si="7"/>
        <v>0</v>
      </c>
    </row>
    <row r="233" spans="1:21">
      <c r="A233" s="76"/>
      <c r="B233" s="77"/>
      <c r="C233" s="81"/>
      <c r="D233" s="82"/>
      <c r="E233" s="82"/>
      <c r="F233" s="83"/>
      <c r="G233" s="84"/>
      <c r="H233" s="85"/>
      <c r="I233" s="71" t="e">
        <f>#REF!&amp;" "&amp;StaffPayroll[[#This Row],[Employee ID Number / Code]]</f>
        <v>#REF!</v>
      </c>
      <c r="J233" s="71" t="str">
        <f>_xlfn.IFNA(VLOOKUP(StaffPayroll[[#This Row],[Position / Title]],Lists!A:C,3,FALSE),"")</f>
        <v/>
      </c>
      <c r="K233" s="71">
        <f>StaffPayroll[[#This Row],[Payroll Period Ends Date (Minimum two months)]]-StaffPayroll[[#This Row],[Payroll Period Begins Date        (Must start after 6/1/2025)]]+1</f>
        <v>1</v>
      </c>
      <c r="L233" s="38">
        <f>IFERROR(IF(VLOOKUP(J233,'Facility Info Input'!$B$25:$D$34,3,FALSE)="",1,VLOOKUP(J233,'Facility Info Input'!$B$25:$D$34,3,FALSE)),0)</f>
        <v>0</v>
      </c>
      <c r="M233" s="22" t="str">
        <f>IF(StaffPayroll[[#This Row],[Employee ID Number / Code]]="","",IF(StaffPayroll[[#This Row],[Position / Title]]="","",VLOOKUP(StaffPayroll[[#This Row],[Position / Title]],Lists!A:C,2,FALSE)))</f>
        <v/>
      </c>
      <c r="N233" s="22">
        <f>IF(C233="",0,StaffPayroll[[#This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3" s="31">
        <f>IF(StaffPayroll[[#This Row],[Hourly WSB  Wage Minimum]]="",0,StaffPayroll[[#This Row],[Annual NF Wage Costs after WSB Minimum]]-StaffPayroll[[#This Row],[Annual NF Wage Costs before WSB Minimum]])</f>
        <v>0</v>
      </c>
      <c r="Q233" s="31">
        <f>IFERROR(IF(StaffPayroll[[#This Row],[Annual Cost of Wage Increase included in Rate Adjustment]]=0,0,P233*'Facility Info Input'!$F$10),0)</f>
        <v>0</v>
      </c>
      <c r="R233" s="32">
        <f>IFERROR(IF(StaffPayroll[[#This Row],[Annual Cost of Wage Increase included in Rate Adjustment]]=0,0,IF('Facility Info Input'!$F$11&lt;=0,0,P233*'Facility Info Input'!$F$11)),0)</f>
        <v>0</v>
      </c>
      <c r="S233" s="32">
        <f>IFERROR(IF(StaffPayroll[[#This Row],[Annual Cost of Wage Increase included in Rate Adjustment]]=0,0,IF('Facility Info Input'!$F$12&lt;=0,0,P233*'Facility Info Input'!$F$12)),0)</f>
        <v>0</v>
      </c>
      <c r="T233" s="32">
        <f t="shared" si="6"/>
        <v>0</v>
      </c>
      <c r="U233" s="33">
        <f t="shared" si="7"/>
        <v>0</v>
      </c>
    </row>
    <row r="234" spans="1:21">
      <c r="A234" s="76"/>
      <c r="B234" s="77"/>
      <c r="C234" s="81"/>
      <c r="D234" s="82"/>
      <c r="E234" s="82"/>
      <c r="F234" s="83"/>
      <c r="G234" s="84"/>
      <c r="H234" s="85"/>
      <c r="I234" s="71" t="e">
        <f>#REF!&amp;" "&amp;StaffPayroll[[#This Row],[Employee ID Number / Code]]</f>
        <v>#REF!</v>
      </c>
      <c r="J234" s="71" t="str">
        <f>_xlfn.IFNA(VLOOKUP(StaffPayroll[[#This Row],[Position / Title]],Lists!A:C,3,FALSE),"")</f>
        <v/>
      </c>
      <c r="K234" s="71">
        <f>StaffPayroll[[#This Row],[Payroll Period Ends Date (Minimum two months)]]-StaffPayroll[[#This Row],[Payroll Period Begins Date        (Must start after 6/1/2025)]]+1</f>
        <v>1</v>
      </c>
      <c r="L234" s="38">
        <f>IFERROR(IF(VLOOKUP(J234,'Facility Info Input'!$B$25:$D$34,3,FALSE)="",1,VLOOKUP(J234,'Facility Info Input'!$B$25:$D$34,3,FALSE)),0)</f>
        <v>0</v>
      </c>
      <c r="M234" s="22" t="str">
        <f>IF(StaffPayroll[[#This Row],[Employee ID Number / Code]]="","",IF(StaffPayroll[[#This Row],[Position / Title]]="","",VLOOKUP(StaffPayroll[[#This Row],[Position / Title]],Lists!A:C,2,FALSE)))</f>
        <v/>
      </c>
      <c r="N234" s="22">
        <f>IF(C234="",0,StaffPayroll[[#This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4" s="31">
        <f>IF(StaffPayroll[[#This Row],[Hourly WSB  Wage Minimum]]="",0,StaffPayroll[[#This Row],[Annual NF Wage Costs after WSB Minimum]]-StaffPayroll[[#This Row],[Annual NF Wage Costs before WSB Minimum]])</f>
        <v>0</v>
      </c>
      <c r="Q234" s="31">
        <f>IFERROR(IF(StaffPayroll[[#This Row],[Annual Cost of Wage Increase included in Rate Adjustment]]=0,0,P234*'Facility Info Input'!$F$10),0)</f>
        <v>0</v>
      </c>
      <c r="R234" s="32">
        <f>IFERROR(IF(StaffPayroll[[#This Row],[Annual Cost of Wage Increase included in Rate Adjustment]]=0,0,IF('Facility Info Input'!$F$11&lt;=0,0,P234*'Facility Info Input'!$F$11)),0)</f>
        <v>0</v>
      </c>
      <c r="S234" s="32">
        <f>IFERROR(IF(StaffPayroll[[#This Row],[Annual Cost of Wage Increase included in Rate Adjustment]]=0,0,IF('Facility Info Input'!$F$12&lt;=0,0,P234*'Facility Info Input'!$F$12)),0)</f>
        <v>0</v>
      </c>
      <c r="T234" s="32">
        <f t="shared" si="6"/>
        <v>0</v>
      </c>
      <c r="U234" s="33">
        <f t="shared" si="7"/>
        <v>0</v>
      </c>
    </row>
    <row r="235" spans="1:21">
      <c r="A235" s="76"/>
      <c r="B235" s="77"/>
      <c r="C235" s="81"/>
      <c r="D235" s="82"/>
      <c r="E235" s="82"/>
      <c r="F235" s="83"/>
      <c r="G235" s="84"/>
      <c r="H235" s="85"/>
      <c r="I235" s="71" t="e">
        <f>#REF!&amp;" "&amp;StaffPayroll[[#This Row],[Employee ID Number / Code]]</f>
        <v>#REF!</v>
      </c>
      <c r="J235" s="71" t="str">
        <f>_xlfn.IFNA(VLOOKUP(StaffPayroll[[#This Row],[Position / Title]],Lists!A:C,3,FALSE),"")</f>
        <v/>
      </c>
      <c r="K235" s="71">
        <f>StaffPayroll[[#This Row],[Payroll Period Ends Date (Minimum two months)]]-StaffPayroll[[#This Row],[Payroll Period Begins Date        (Must start after 6/1/2025)]]+1</f>
        <v>1</v>
      </c>
      <c r="L235" s="38">
        <f>IFERROR(IF(VLOOKUP(J235,'Facility Info Input'!$B$25:$D$34,3,FALSE)="",1,VLOOKUP(J235,'Facility Info Input'!$B$25:$D$34,3,FALSE)),0)</f>
        <v>0</v>
      </c>
      <c r="M235" s="22" t="str">
        <f>IF(StaffPayroll[[#This Row],[Employee ID Number / Code]]="","",IF(StaffPayroll[[#This Row],[Position / Title]]="","",VLOOKUP(StaffPayroll[[#This Row],[Position / Title]],Lists!A:C,2,FALSE)))</f>
        <v/>
      </c>
      <c r="N235" s="22">
        <f>IF(C235="",0,StaffPayroll[[#This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5" s="31">
        <f>IF(StaffPayroll[[#This Row],[Hourly WSB  Wage Minimum]]="",0,StaffPayroll[[#This Row],[Annual NF Wage Costs after WSB Minimum]]-StaffPayroll[[#This Row],[Annual NF Wage Costs before WSB Minimum]])</f>
        <v>0</v>
      </c>
      <c r="Q235" s="31">
        <f>IFERROR(IF(StaffPayroll[[#This Row],[Annual Cost of Wage Increase included in Rate Adjustment]]=0,0,P235*'Facility Info Input'!$F$10),0)</f>
        <v>0</v>
      </c>
      <c r="R235" s="32">
        <f>IFERROR(IF(StaffPayroll[[#This Row],[Annual Cost of Wage Increase included in Rate Adjustment]]=0,0,IF('Facility Info Input'!$F$11&lt;=0,0,P235*'Facility Info Input'!$F$11)),0)</f>
        <v>0</v>
      </c>
      <c r="S235" s="32">
        <f>IFERROR(IF(StaffPayroll[[#This Row],[Annual Cost of Wage Increase included in Rate Adjustment]]=0,0,IF('Facility Info Input'!$F$12&lt;=0,0,P235*'Facility Info Input'!$F$12)),0)</f>
        <v>0</v>
      </c>
      <c r="T235" s="32">
        <f t="shared" si="6"/>
        <v>0</v>
      </c>
      <c r="U235" s="33">
        <f t="shared" si="7"/>
        <v>0</v>
      </c>
    </row>
    <row r="236" spans="1:21">
      <c r="A236" s="76"/>
      <c r="B236" s="77"/>
      <c r="C236" s="81"/>
      <c r="D236" s="82"/>
      <c r="E236" s="82"/>
      <c r="F236" s="83"/>
      <c r="G236" s="84"/>
      <c r="H236" s="85"/>
      <c r="I236" s="71" t="e">
        <f>#REF!&amp;" "&amp;StaffPayroll[[#This Row],[Employee ID Number / Code]]</f>
        <v>#REF!</v>
      </c>
      <c r="J236" s="71" t="str">
        <f>_xlfn.IFNA(VLOOKUP(StaffPayroll[[#This Row],[Position / Title]],Lists!A:C,3,FALSE),"")</f>
        <v/>
      </c>
      <c r="K236" s="71">
        <f>StaffPayroll[[#This Row],[Payroll Period Ends Date (Minimum two months)]]-StaffPayroll[[#This Row],[Payroll Period Begins Date        (Must start after 6/1/2025)]]+1</f>
        <v>1</v>
      </c>
      <c r="L236" s="38">
        <f>IFERROR(IF(VLOOKUP(J236,'Facility Info Input'!$B$25:$D$34,3,FALSE)="",1,VLOOKUP(J236,'Facility Info Input'!$B$25:$D$34,3,FALSE)),0)</f>
        <v>0</v>
      </c>
      <c r="M236" s="22" t="str">
        <f>IF(StaffPayroll[[#This Row],[Employee ID Number / Code]]="","",IF(StaffPayroll[[#This Row],[Position / Title]]="","",VLOOKUP(StaffPayroll[[#This Row],[Position / Title]],Lists!A:C,2,FALSE)))</f>
        <v/>
      </c>
      <c r="N236" s="22">
        <f>IF(C236="",0,StaffPayroll[[#This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6" s="31">
        <f>IF(StaffPayroll[[#This Row],[Hourly WSB  Wage Minimum]]="",0,StaffPayroll[[#This Row],[Annual NF Wage Costs after WSB Minimum]]-StaffPayroll[[#This Row],[Annual NF Wage Costs before WSB Minimum]])</f>
        <v>0</v>
      </c>
      <c r="Q236" s="31">
        <f>IFERROR(IF(StaffPayroll[[#This Row],[Annual Cost of Wage Increase included in Rate Adjustment]]=0,0,P236*'Facility Info Input'!$F$10),0)</f>
        <v>0</v>
      </c>
      <c r="R236" s="32">
        <f>IFERROR(IF(StaffPayroll[[#This Row],[Annual Cost of Wage Increase included in Rate Adjustment]]=0,0,IF('Facility Info Input'!$F$11&lt;=0,0,P236*'Facility Info Input'!$F$11)),0)</f>
        <v>0</v>
      </c>
      <c r="S236" s="32">
        <f>IFERROR(IF(StaffPayroll[[#This Row],[Annual Cost of Wage Increase included in Rate Adjustment]]=0,0,IF('Facility Info Input'!$F$12&lt;=0,0,P236*'Facility Info Input'!$F$12)),0)</f>
        <v>0</v>
      </c>
      <c r="T236" s="32">
        <f t="shared" si="6"/>
        <v>0</v>
      </c>
      <c r="U236" s="33">
        <f t="shared" si="7"/>
        <v>0</v>
      </c>
    </row>
    <row r="237" spans="1:21">
      <c r="A237" s="76"/>
      <c r="B237" s="77"/>
      <c r="C237" s="81"/>
      <c r="D237" s="82"/>
      <c r="E237" s="82"/>
      <c r="F237" s="83"/>
      <c r="G237" s="84"/>
      <c r="H237" s="85"/>
      <c r="I237" s="71" t="e">
        <f>#REF!&amp;" "&amp;StaffPayroll[[#This Row],[Employee ID Number / Code]]</f>
        <v>#REF!</v>
      </c>
      <c r="J237" s="71" t="str">
        <f>_xlfn.IFNA(VLOOKUP(StaffPayroll[[#This Row],[Position / Title]],Lists!A:C,3,FALSE),"")</f>
        <v/>
      </c>
      <c r="K237" s="71">
        <f>StaffPayroll[[#This Row],[Payroll Period Ends Date (Minimum two months)]]-StaffPayroll[[#This Row],[Payroll Period Begins Date        (Must start after 6/1/2025)]]+1</f>
        <v>1</v>
      </c>
      <c r="L237" s="38">
        <f>IFERROR(IF(VLOOKUP(J237,'Facility Info Input'!$B$25:$D$34,3,FALSE)="",1,VLOOKUP(J237,'Facility Info Input'!$B$25:$D$34,3,FALSE)),0)</f>
        <v>0</v>
      </c>
      <c r="M237" s="22" t="str">
        <f>IF(StaffPayroll[[#This Row],[Employee ID Number / Code]]="","",IF(StaffPayroll[[#This Row],[Position / Title]]="","",VLOOKUP(StaffPayroll[[#This Row],[Position / Title]],Lists!A:C,2,FALSE)))</f>
        <v/>
      </c>
      <c r="N237" s="22">
        <f>IF(C237="",0,StaffPayroll[[#This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7" s="31">
        <f>IF(StaffPayroll[[#This Row],[Hourly WSB  Wage Minimum]]="",0,StaffPayroll[[#This Row],[Annual NF Wage Costs after WSB Minimum]]-StaffPayroll[[#This Row],[Annual NF Wage Costs before WSB Minimum]])</f>
        <v>0</v>
      </c>
      <c r="Q237" s="31">
        <f>IFERROR(IF(StaffPayroll[[#This Row],[Annual Cost of Wage Increase included in Rate Adjustment]]=0,0,P237*'Facility Info Input'!$F$10),0)</f>
        <v>0</v>
      </c>
      <c r="R237" s="32">
        <f>IFERROR(IF(StaffPayroll[[#This Row],[Annual Cost of Wage Increase included in Rate Adjustment]]=0,0,IF('Facility Info Input'!$F$11&lt;=0,0,P237*'Facility Info Input'!$F$11)),0)</f>
        <v>0</v>
      </c>
      <c r="S237" s="32">
        <f>IFERROR(IF(StaffPayroll[[#This Row],[Annual Cost of Wage Increase included in Rate Adjustment]]=0,0,IF('Facility Info Input'!$F$12&lt;=0,0,P237*'Facility Info Input'!$F$12)),0)</f>
        <v>0</v>
      </c>
      <c r="T237" s="32">
        <f t="shared" si="6"/>
        <v>0</v>
      </c>
      <c r="U237" s="33">
        <f t="shared" si="7"/>
        <v>0</v>
      </c>
    </row>
    <row r="238" spans="1:21">
      <c r="A238" s="76"/>
      <c r="B238" s="77"/>
      <c r="C238" s="81"/>
      <c r="D238" s="82"/>
      <c r="E238" s="82"/>
      <c r="F238" s="83"/>
      <c r="G238" s="84"/>
      <c r="H238" s="85"/>
      <c r="I238" s="71" t="e">
        <f>#REF!&amp;" "&amp;StaffPayroll[[#This Row],[Employee ID Number / Code]]</f>
        <v>#REF!</v>
      </c>
      <c r="J238" s="71" t="str">
        <f>_xlfn.IFNA(VLOOKUP(StaffPayroll[[#This Row],[Position / Title]],Lists!A:C,3,FALSE),"")</f>
        <v/>
      </c>
      <c r="K238" s="71">
        <f>StaffPayroll[[#This Row],[Payroll Period Ends Date (Minimum two months)]]-StaffPayroll[[#This Row],[Payroll Period Begins Date        (Must start after 6/1/2025)]]+1</f>
        <v>1</v>
      </c>
      <c r="L238" s="38">
        <f>IFERROR(IF(VLOOKUP(J238,'Facility Info Input'!$B$25:$D$34,3,FALSE)="",1,VLOOKUP(J238,'Facility Info Input'!$B$25:$D$34,3,FALSE)),0)</f>
        <v>0</v>
      </c>
      <c r="M238" s="22" t="str">
        <f>IF(StaffPayroll[[#This Row],[Employee ID Number / Code]]="","",IF(StaffPayroll[[#This Row],[Position / Title]]="","",VLOOKUP(StaffPayroll[[#This Row],[Position / Title]],Lists!A:C,2,FALSE)))</f>
        <v/>
      </c>
      <c r="N238" s="22">
        <f>IF(C238="",0,StaffPayroll[[#This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8" s="31">
        <f>IF(StaffPayroll[[#This Row],[Hourly WSB  Wage Minimum]]="",0,StaffPayroll[[#This Row],[Annual NF Wage Costs after WSB Minimum]]-StaffPayroll[[#This Row],[Annual NF Wage Costs before WSB Minimum]])</f>
        <v>0</v>
      </c>
      <c r="Q238" s="31">
        <f>IFERROR(IF(StaffPayroll[[#This Row],[Annual Cost of Wage Increase included in Rate Adjustment]]=0,0,P238*'Facility Info Input'!$F$10),0)</f>
        <v>0</v>
      </c>
      <c r="R238" s="32">
        <f>IFERROR(IF(StaffPayroll[[#This Row],[Annual Cost of Wage Increase included in Rate Adjustment]]=0,0,IF('Facility Info Input'!$F$11&lt;=0,0,P238*'Facility Info Input'!$F$11)),0)</f>
        <v>0</v>
      </c>
      <c r="S238" s="32">
        <f>IFERROR(IF(StaffPayroll[[#This Row],[Annual Cost of Wage Increase included in Rate Adjustment]]=0,0,IF('Facility Info Input'!$F$12&lt;=0,0,P238*'Facility Info Input'!$F$12)),0)</f>
        <v>0</v>
      </c>
      <c r="T238" s="32">
        <f t="shared" si="6"/>
        <v>0</v>
      </c>
      <c r="U238" s="33">
        <f t="shared" si="7"/>
        <v>0</v>
      </c>
    </row>
    <row r="239" spans="1:21">
      <c r="A239" s="76"/>
      <c r="B239" s="77"/>
      <c r="C239" s="81"/>
      <c r="D239" s="82"/>
      <c r="E239" s="82"/>
      <c r="F239" s="83"/>
      <c r="G239" s="84"/>
      <c r="H239" s="85"/>
      <c r="I239" s="71" t="e">
        <f>#REF!&amp;" "&amp;StaffPayroll[[#This Row],[Employee ID Number / Code]]</f>
        <v>#REF!</v>
      </c>
      <c r="J239" s="71" t="str">
        <f>_xlfn.IFNA(VLOOKUP(StaffPayroll[[#This Row],[Position / Title]],Lists!A:C,3,FALSE),"")</f>
        <v/>
      </c>
      <c r="K239" s="71">
        <f>StaffPayroll[[#This Row],[Payroll Period Ends Date (Minimum two months)]]-StaffPayroll[[#This Row],[Payroll Period Begins Date        (Must start after 6/1/2025)]]+1</f>
        <v>1</v>
      </c>
      <c r="L239" s="38">
        <f>IFERROR(IF(VLOOKUP(J239,'Facility Info Input'!$B$25:$D$34,3,FALSE)="",1,VLOOKUP(J239,'Facility Info Input'!$B$25:$D$34,3,FALSE)),0)</f>
        <v>0</v>
      </c>
      <c r="M239" s="22" t="str">
        <f>IF(StaffPayroll[[#This Row],[Employee ID Number / Code]]="","",IF(StaffPayroll[[#This Row],[Position / Title]]="","",VLOOKUP(StaffPayroll[[#This Row],[Position / Title]],Lists!A:C,2,FALSE)))</f>
        <v/>
      </c>
      <c r="N239" s="22">
        <f>IF(C239="",0,StaffPayroll[[#This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3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39" s="31">
        <f>IF(StaffPayroll[[#This Row],[Hourly WSB  Wage Minimum]]="",0,StaffPayroll[[#This Row],[Annual NF Wage Costs after WSB Minimum]]-StaffPayroll[[#This Row],[Annual NF Wage Costs before WSB Minimum]])</f>
        <v>0</v>
      </c>
      <c r="Q239" s="31">
        <f>IFERROR(IF(StaffPayroll[[#This Row],[Annual Cost of Wage Increase included in Rate Adjustment]]=0,0,P239*'Facility Info Input'!$F$10),0)</f>
        <v>0</v>
      </c>
      <c r="R239" s="32">
        <f>IFERROR(IF(StaffPayroll[[#This Row],[Annual Cost of Wage Increase included in Rate Adjustment]]=0,0,IF('Facility Info Input'!$F$11&lt;=0,0,P239*'Facility Info Input'!$F$11)),0)</f>
        <v>0</v>
      </c>
      <c r="S239" s="32">
        <f>IFERROR(IF(StaffPayroll[[#This Row],[Annual Cost of Wage Increase included in Rate Adjustment]]=0,0,IF('Facility Info Input'!$F$12&lt;=0,0,P239*'Facility Info Input'!$F$12)),0)</f>
        <v>0</v>
      </c>
      <c r="T239" s="32">
        <f t="shared" si="6"/>
        <v>0</v>
      </c>
      <c r="U239" s="33">
        <f t="shared" si="7"/>
        <v>0</v>
      </c>
    </row>
    <row r="240" spans="1:21">
      <c r="A240" s="76"/>
      <c r="B240" s="77"/>
      <c r="C240" s="81"/>
      <c r="D240" s="82"/>
      <c r="E240" s="82"/>
      <c r="F240" s="83"/>
      <c r="G240" s="84"/>
      <c r="H240" s="85"/>
      <c r="I240" s="71" t="e">
        <f>#REF!&amp;" "&amp;StaffPayroll[[#This Row],[Employee ID Number / Code]]</f>
        <v>#REF!</v>
      </c>
      <c r="J240" s="71" t="str">
        <f>_xlfn.IFNA(VLOOKUP(StaffPayroll[[#This Row],[Position / Title]],Lists!A:C,3,FALSE),"")</f>
        <v/>
      </c>
      <c r="K240" s="71">
        <f>StaffPayroll[[#This Row],[Payroll Period Ends Date (Minimum two months)]]-StaffPayroll[[#This Row],[Payroll Period Begins Date        (Must start after 6/1/2025)]]+1</f>
        <v>1</v>
      </c>
      <c r="L240" s="38">
        <f>IFERROR(IF(VLOOKUP(J240,'Facility Info Input'!$B$25:$D$34,3,FALSE)="",1,VLOOKUP(J240,'Facility Info Input'!$B$25:$D$34,3,FALSE)),0)</f>
        <v>0</v>
      </c>
      <c r="M240" s="22" t="str">
        <f>IF(StaffPayroll[[#This Row],[Employee ID Number / Code]]="","",IF(StaffPayroll[[#This Row],[Position / Title]]="","",VLOOKUP(StaffPayroll[[#This Row],[Position / Title]],Lists!A:C,2,FALSE)))</f>
        <v/>
      </c>
      <c r="N240" s="22">
        <f>IF(C240="",0,StaffPayroll[[#This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0" s="31">
        <f>IF(StaffPayroll[[#This Row],[Hourly WSB  Wage Minimum]]="",0,StaffPayroll[[#This Row],[Annual NF Wage Costs after WSB Minimum]]-StaffPayroll[[#This Row],[Annual NF Wage Costs before WSB Minimum]])</f>
        <v>0</v>
      </c>
      <c r="Q240" s="31">
        <f>IFERROR(IF(StaffPayroll[[#This Row],[Annual Cost of Wage Increase included in Rate Adjustment]]=0,0,P240*'Facility Info Input'!$F$10),0)</f>
        <v>0</v>
      </c>
      <c r="R240" s="32">
        <f>IFERROR(IF(StaffPayroll[[#This Row],[Annual Cost of Wage Increase included in Rate Adjustment]]=0,0,IF('Facility Info Input'!$F$11&lt;=0,0,P240*'Facility Info Input'!$F$11)),0)</f>
        <v>0</v>
      </c>
      <c r="S240" s="32">
        <f>IFERROR(IF(StaffPayroll[[#This Row],[Annual Cost of Wage Increase included in Rate Adjustment]]=0,0,IF('Facility Info Input'!$F$12&lt;=0,0,P240*'Facility Info Input'!$F$12)),0)</f>
        <v>0</v>
      </c>
      <c r="T240" s="32">
        <f t="shared" si="6"/>
        <v>0</v>
      </c>
      <c r="U240" s="33">
        <f t="shared" si="7"/>
        <v>0</v>
      </c>
    </row>
    <row r="241" spans="1:21">
      <c r="A241" s="76"/>
      <c r="B241" s="77"/>
      <c r="C241" s="81"/>
      <c r="D241" s="82"/>
      <c r="E241" s="82"/>
      <c r="F241" s="83"/>
      <c r="G241" s="84"/>
      <c r="H241" s="85"/>
      <c r="I241" s="71" t="e">
        <f>#REF!&amp;" "&amp;StaffPayroll[[#This Row],[Employee ID Number / Code]]</f>
        <v>#REF!</v>
      </c>
      <c r="J241" s="71" t="str">
        <f>_xlfn.IFNA(VLOOKUP(StaffPayroll[[#This Row],[Position / Title]],Lists!A:C,3,FALSE),"")</f>
        <v/>
      </c>
      <c r="K241" s="71">
        <f>StaffPayroll[[#This Row],[Payroll Period Ends Date (Minimum two months)]]-StaffPayroll[[#This Row],[Payroll Period Begins Date        (Must start after 6/1/2025)]]+1</f>
        <v>1</v>
      </c>
      <c r="L241" s="38">
        <f>IFERROR(IF(VLOOKUP(J241,'Facility Info Input'!$B$25:$D$34,3,FALSE)="",1,VLOOKUP(J241,'Facility Info Input'!$B$25:$D$34,3,FALSE)),0)</f>
        <v>0</v>
      </c>
      <c r="M241" s="22" t="str">
        <f>IF(StaffPayroll[[#This Row],[Employee ID Number / Code]]="","",IF(StaffPayroll[[#This Row],[Position / Title]]="","",VLOOKUP(StaffPayroll[[#This Row],[Position / Title]],Lists!A:C,2,FALSE)))</f>
        <v/>
      </c>
      <c r="N241" s="22">
        <f>IF(C241="",0,StaffPayroll[[#This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1" s="31">
        <f>IF(StaffPayroll[[#This Row],[Hourly WSB  Wage Minimum]]="",0,StaffPayroll[[#This Row],[Annual NF Wage Costs after WSB Minimum]]-StaffPayroll[[#This Row],[Annual NF Wage Costs before WSB Minimum]])</f>
        <v>0</v>
      </c>
      <c r="Q241" s="31">
        <f>IFERROR(IF(StaffPayroll[[#This Row],[Annual Cost of Wage Increase included in Rate Adjustment]]=0,0,P241*'Facility Info Input'!$F$10),0)</f>
        <v>0</v>
      </c>
      <c r="R241" s="32">
        <f>IFERROR(IF(StaffPayroll[[#This Row],[Annual Cost of Wage Increase included in Rate Adjustment]]=0,0,IF('Facility Info Input'!$F$11&lt;=0,0,P241*'Facility Info Input'!$F$11)),0)</f>
        <v>0</v>
      </c>
      <c r="S241" s="32">
        <f>IFERROR(IF(StaffPayroll[[#This Row],[Annual Cost of Wage Increase included in Rate Adjustment]]=0,0,IF('Facility Info Input'!$F$12&lt;=0,0,P241*'Facility Info Input'!$F$12)),0)</f>
        <v>0</v>
      </c>
      <c r="T241" s="32">
        <f t="shared" si="6"/>
        <v>0</v>
      </c>
      <c r="U241" s="33">
        <f t="shared" si="7"/>
        <v>0</v>
      </c>
    </row>
    <row r="242" spans="1:21">
      <c r="A242" s="76"/>
      <c r="B242" s="77"/>
      <c r="C242" s="81"/>
      <c r="D242" s="82"/>
      <c r="E242" s="82"/>
      <c r="F242" s="83"/>
      <c r="G242" s="84"/>
      <c r="H242" s="85"/>
      <c r="I242" s="71" t="e">
        <f>#REF!&amp;" "&amp;StaffPayroll[[#This Row],[Employee ID Number / Code]]</f>
        <v>#REF!</v>
      </c>
      <c r="J242" s="71" t="str">
        <f>_xlfn.IFNA(VLOOKUP(StaffPayroll[[#This Row],[Position / Title]],Lists!A:C,3,FALSE),"")</f>
        <v/>
      </c>
      <c r="K242" s="71">
        <f>StaffPayroll[[#This Row],[Payroll Period Ends Date (Minimum two months)]]-StaffPayroll[[#This Row],[Payroll Period Begins Date        (Must start after 6/1/2025)]]+1</f>
        <v>1</v>
      </c>
      <c r="L242" s="38">
        <f>IFERROR(IF(VLOOKUP(J242,'Facility Info Input'!$B$25:$D$34,3,FALSE)="",1,VLOOKUP(J242,'Facility Info Input'!$B$25:$D$34,3,FALSE)),0)</f>
        <v>0</v>
      </c>
      <c r="M242" s="22" t="str">
        <f>IF(StaffPayroll[[#This Row],[Employee ID Number / Code]]="","",IF(StaffPayroll[[#This Row],[Position / Title]]="","",VLOOKUP(StaffPayroll[[#This Row],[Position / Title]],Lists!A:C,2,FALSE)))</f>
        <v/>
      </c>
      <c r="N242" s="22">
        <f>IF(C242="",0,StaffPayroll[[#This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2" s="31">
        <f>IF(StaffPayroll[[#This Row],[Hourly WSB  Wage Minimum]]="",0,StaffPayroll[[#This Row],[Annual NF Wage Costs after WSB Minimum]]-StaffPayroll[[#This Row],[Annual NF Wage Costs before WSB Minimum]])</f>
        <v>0</v>
      </c>
      <c r="Q242" s="31">
        <f>IFERROR(IF(StaffPayroll[[#This Row],[Annual Cost of Wage Increase included in Rate Adjustment]]=0,0,P242*'Facility Info Input'!$F$10),0)</f>
        <v>0</v>
      </c>
      <c r="R242" s="32">
        <f>IFERROR(IF(StaffPayroll[[#This Row],[Annual Cost of Wage Increase included in Rate Adjustment]]=0,0,IF('Facility Info Input'!$F$11&lt;=0,0,P242*'Facility Info Input'!$F$11)),0)</f>
        <v>0</v>
      </c>
      <c r="S242" s="32">
        <f>IFERROR(IF(StaffPayroll[[#This Row],[Annual Cost of Wage Increase included in Rate Adjustment]]=0,0,IF('Facility Info Input'!$F$12&lt;=0,0,P242*'Facility Info Input'!$F$12)),0)</f>
        <v>0</v>
      </c>
      <c r="T242" s="32">
        <f t="shared" si="6"/>
        <v>0</v>
      </c>
      <c r="U242" s="33">
        <f t="shared" si="7"/>
        <v>0</v>
      </c>
    </row>
    <row r="243" spans="1:21">
      <c r="A243" s="76"/>
      <c r="B243" s="77"/>
      <c r="C243" s="81"/>
      <c r="D243" s="82"/>
      <c r="E243" s="82"/>
      <c r="F243" s="83"/>
      <c r="G243" s="84"/>
      <c r="H243" s="85"/>
      <c r="I243" s="71" t="e">
        <f>#REF!&amp;" "&amp;StaffPayroll[[#This Row],[Employee ID Number / Code]]</f>
        <v>#REF!</v>
      </c>
      <c r="J243" s="71" t="str">
        <f>_xlfn.IFNA(VLOOKUP(StaffPayroll[[#This Row],[Position / Title]],Lists!A:C,3,FALSE),"")</f>
        <v/>
      </c>
      <c r="K243" s="71">
        <f>StaffPayroll[[#This Row],[Payroll Period Ends Date (Minimum two months)]]-StaffPayroll[[#This Row],[Payroll Period Begins Date        (Must start after 6/1/2025)]]+1</f>
        <v>1</v>
      </c>
      <c r="L243" s="38">
        <f>IFERROR(IF(VLOOKUP(J243,'Facility Info Input'!$B$25:$D$34,3,FALSE)="",1,VLOOKUP(J243,'Facility Info Input'!$B$25:$D$34,3,FALSE)),0)</f>
        <v>0</v>
      </c>
      <c r="M243" s="22" t="str">
        <f>IF(StaffPayroll[[#This Row],[Employee ID Number / Code]]="","",IF(StaffPayroll[[#This Row],[Position / Title]]="","",VLOOKUP(StaffPayroll[[#This Row],[Position / Title]],Lists!A:C,2,FALSE)))</f>
        <v/>
      </c>
      <c r="N243" s="22">
        <f>IF(C243="",0,StaffPayroll[[#This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3" s="31">
        <f>IF(StaffPayroll[[#This Row],[Hourly WSB  Wage Minimum]]="",0,StaffPayroll[[#This Row],[Annual NF Wage Costs after WSB Minimum]]-StaffPayroll[[#This Row],[Annual NF Wage Costs before WSB Minimum]])</f>
        <v>0</v>
      </c>
      <c r="Q243" s="31">
        <f>IFERROR(IF(StaffPayroll[[#This Row],[Annual Cost of Wage Increase included in Rate Adjustment]]=0,0,P243*'Facility Info Input'!$F$10),0)</f>
        <v>0</v>
      </c>
      <c r="R243" s="32">
        <f>IFERROR(IF(StaffPayroll[[#This Row],[Annual Cost of Wage Increase included in Rate Adjustment]]=0,0,IF('Facility Info Input'!$F$11&lt;=0,0,P243*'Facility Info Input'!$F$11)),0)</f>
        <v>0</v>
      </c>
      <c r="S243" s="32">
        <f>IFERROR(IF(StaffPayroll[[#This Row],[Annual Cost of Wage Increase included in Rate Adjustment]]=0,0,IF('Facility Info Input'!$F$12&lt;=0,0,P243*'Facility Info Input'!$F$12)),0)</f>
        <v>0</v>
      </c>
      <c r="T243" s="32">
        <f t="shared" si="6"/>
        <v>0</v>
      </c>
      <c r="U243" s="33">
        <f t="shared" si="7"/>
        <v>0</v>
      </c>
    </row>
    <row r="244" spans="1:21">
      <c r="A244" s="76"/>
      <c r="B244" s="77"/>
      <c r="C244" s="81"/>
      <c r="D244" s="82"/>
      <c r="E244" s="82"/>
      <c r="F244" s="83"/>
      <c r="G244" s="84"/>
      <c r="H244" s="85"/>
      <c r="I244" s="71" t="e">
        <f>#REF!&amp;" "&amp;StaffPayroll[[#This Row],[Employee ID Number / Code]]</f>
        <v>#REF!</v>
      </c>
      <c r="J244" s="71" t="str">
        <f>_xlfn.IFNA(VLOOKUP(StaffPayroll[[#This Row],[Position / Title]],Lists!A:C,3,FALSE),"")</f>
        <v/>
      </c>
      <c r="K244" s="71">
        <f>StaffPayroll[[#This Row],[Payroll Period Ends Date (Minimum two months)]]-StaffPayroll[[#This Row],[Payroll Period Begins Date        (Must start after 6/1/2025)]]+1</f>
        <v>1</v>
      </c>
      <c r="L244" s="38">
        <f>IFERROR(IF(VLOOKUP(J244,'Facility Info Input'!$B$25:$D$34,3,FALSE)="",1,VLOOKUP(J244,'Facility Info Input'!$B$25:$D$34,3,FALSE)),0)</f>
        <v>0</v>
      </c>
      <c r="M244" s="22" t="str">
        <f>IF(StaffPayroll[[#This Row],[Employee ID Number / Code]]="","",IF(StaffPayroll[[#This Row],[Position / Title]]="","",VLOOKUP(StaffPayroll[[#This Row],[Position / Title]],Lists!A:C,2,FALSE)))</f>
        <v/>
      </c>
      <c r="N244" s="22">
        <f>IF(C244="",0,StaffPayroll[[#This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4" s="31">
        <f>IF(StaffPayroll[[#This Row],[Hourly WSB  Wage Minimum]]="",0,StaffPayroll[[#This Row],[Annual NF Wage Costs after WSB Minimum]]-StaffPayroll[[#This Row],[Annual NF Wage Costs before WSB Minimum]])</f>
        <v>0</v>
      </c>
      <c r="Q244" s="31">
        <f>IFERROR(IF(StaffPayroll[[#This Row],[Annual Cost of Wage Increase included in Rate Adjustment]]=0,0,P244*'Facility Info Input'!$F$10),0)</f>
        <v>0</v>
      </c>
      <c r="R244" s="32">
        <f>IFERROR(IF(StaffPayroll[[#This Row],[Annual Cost of Wage Increase included in Rate Adjustment]]=0,0,IF('Facility Info Input'!$F$11&lt;=0,0,P244*'Facility Info Input'!$F$11)),0)</f>
        <v>0</v>
      </c>
      <c r="S244" s="32">
        <f>IFERROR(IF(StaffPayroll[[#This Row],[Annual Cost of Wage Increase included in Rate Adjustment]]=0,0,IF('Facility Info Input'!$F$12&lt;=0,0,P244*'Facility Info Input'!$F$12)),0)</f>
        <v>0</v>
      </c>
      <c r="T244" s="32">
        <f t="shared" si="6"/>
        <v>0</v>
      </c>
      <c r="U244" s="33">
        <f t="shared" si="7"/>
        <v>0</v>
      </c>
    </row>
    <row r="245" spans="1:21">
      <c r="A245" s="76"/>
      <c r="B245" s="77"/>
      <c r="C245" s="81"/>
      <c r="D245" s="82"/>
      <c r="E245" s="82"/>
      <c r="F245" s="83"/>
      <c r="G245" s="84"/>
      <c r="H245" s="85"/>
      <c r="I245" s="71" t="e">
        <f>#REF!&amp;" "&amp;StaffPayroll[[#This Row],[Employee ID Number / Code]]</f>
        <v>#REF!</v>
      </c>
      <c r="J245" s="71" t="str">
        <f>_xlfn.IFNA(VLOOKUP(StaffPayroll[[#This Row],[Position / Title]],Lists!A:C,3,FALSE),"")</f>
        <v/>
      </c>
      <c r="K245" s="71">
        <f>StaffPayroll[[#This Row],[Payroll Period Ends Date (Minimum two months)]]-StaffPayroll[[#This Row],[Payroll Period Begins Date        (Must start after 6/1/2025)]]+1</f>
        <v>1</v>
      </c>
      <c r="L245" s="38">
        <f>IFERROR(IF(VLOOKUP(J245,'Facility Info Input'!$B$25:$D$34,3,FALSE)="",1,VLOOKUP(J245,'Facility Info Input'!$B$25:$D$34,3,FALSE)),0)</f>
        <v>0</v>
      </c>
      <c r="M245" s="22" t="str">
        <f>IF(StaffPayroll[[#This Row],[Employee ID Number / Code]]="","",IF(StaffPayroll[[#This Row],[Position / Title]]="","",VLOOKUP(StaffPayroll[[#This Row],[Position / Title]],Lists!A:C,2,FALSE)))</f>
        <v/>
      </c>
      <c r="N245" s="22">
        <f>IF(C245="",0,StaffPayroll[[#This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5" s="31">
        <f>IF(StaffPayroll[[#This Row],[Hourly WSB  Wage Minimum]]="",0,StaffPayroll[[#This Row],[Annual NF Wage Costs after WSB Minimum]]-StaffPayroll[[#This Row],[Annual NF Wage Costs before WSB Minimum]])</f>
        <v>0</v>
      </c>
      <c r="Q245" s="31">
        <f>IFERROR(IF(StaffPayroll[[#This Row],[Annual Cost of Wage Increase included in Rate Adjustment]]=0,0,P245*'Facility Info Input'!$F$10),0)</f>
        <v>0</v>
      </c>
      <c r="R245" s="32">
        <f>IFERROR(IF(StaffPayroll[[#This Row],[Annual Cost of Wage Increase included in Rate Adjustment]]=0,0,IF('Facility Info Input'!$F$11&lt;=0,0,P245*'Facility Info Input'!$F$11)),0)</f>
        <v>0</v>
      </c>
      <c r="S245" s="32">
        <f>IFERROR(IF(StaffPayroll[[#This Row],[Annual Cost of Wage Increase included in Rate Adjustment]]=0,0,IF('Facility Info Input'!$F$12&lt;=0,0,P245*'Facility Info Input'!$F$12)),0)</f>
        <v>0</v>
      </c>
      <c r="T245" s="32">
        <f t="shared" si="6"/>
        <v>0</v>
      </c>
      <c r="U245" s="33">
        <f t="shared" si="7"/>
        <v>0</v>
      </c>
    </row>
    <row r="246" spans="1:21">
      <c r="A246" s="76"/>
      <c r="B246" s="77"/>
      <c r="C246" s="81"/>
      <c r="D246" s="82"/>
      <c r="E246" s="82"/>
      <c r="F246" s="83"/>
      <c r="G246" s="84"/>
      <c r="H246" s="85"/>
      <c r="I246" s="71" t="e">
        <f>#REF!&amp;" "&amp;StaffPayroll[[#This Row],[Employee ID Number / Code]]</f>
        <v>#REF!</v>
      </c>
      <c r="J246" s="71" t="str">
        <f>_xlfn.IFNA(VLOOKUP(StaffPayroll[[#This Row],[Position / Title]],Lists!A:C,3,FALSE),"")</f>
        <v/>
      </c>
      <c r="K246" s="71">
        <f>StaffPayroll[[#This Row],[Payroll Period Ends Date (Minimum two months)]]-StaffPayroll[[#This Row],[Payroll Period Begins Date        (Must start after 6/1/2025)]]+1</f>
        <v>1</v>
      </c>
      <c r="L246" s="38">
        <f>IFERROR(IF(VLOOKUP(J246,'Facility Info Input'!$B$25:$D$34,3,FALSE)="",1,VLOOKUP(J246,'Facility Info Input'!$B$25:$D$34,3,FALSE)),0)</f>
        <v>0</v>
      </c>
      <c r="M246" s="22" t="str">
        <f>IF(StaffPayroll[[#This Row],[Employee ID Number / Code]]="","",IF(StaffPayroll[[#This Row],[Position / Title]]="","",VLOOKUP(StaffPayroll[[#This Row],[Position / Title]],Lists!A:C,2,FALSE)))</f>
        <v/>
      </c>
      <c r="N246" s="22">
        <f>IF(C246="",0,StaffPayroll[[#This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6" s="31">
        <f>IF(StaffPayroll[[#This Row],[Hourly WSB  Wage Minimum]]="",0,StaffPayroll[[#This Row],[Annual NF Wage Costs after WSB Minimum]]-StaffPayroll[[#This Row],[Annual NF Wage Costs before WSB Minimum]])</f>
        <v>0</v>
      </c>
      <c r="Q246" s="31">
        <f>IFERROR(IF(StaffPayroll[[#This Row],[Annual Cost of Wage Increase included in Rate Adjustment]]=0,0,P246*'Facility Info Input'!$F$10),0)</f>
        <v>0</v>
      </c>
      <c r="R246" s="32">
        <f>IFERROR(IF(StaffPayroll[[#This Row],[Annual Cost of Wage Increase included in Rate Adjustment]]=0,0,IF('Facility Info Input'!$F$11&lt;=0,0,P246*'Facility Info Input'!$F$11)),0)</f>
        <v>0</v>
      </c>
      <c r="S246" s="32">
        <f>IFERROR(IF(StaffPayroll[[#This Row],[Annual Cost of Wage Increase included in Rate Adjustment]]=0,0,IF('Facility Info Input'!$F$12&lt;=0,0,P246*'Facility Info Input'!$F$12)),0)</f>
        <v>0</v>
      </c>
      <c r="T246" s="32">
        <f t="shared" si="6"/>
        <v>0</v>
      </c>
      <c r="U246" s="33">
        <f t="shared" si="7"/>
        <v>0</v>
      </c>
    </row>
    <row r="247" spans="1:21">
      <c r="A247" s="76"/>
      <c r="B247" s="77"/>
      <c r="C247" s="81"/>
      <c r="D247" s="82"/>
      <c r="E247" s="82"/>
      <c r="F247" s="83"/>
      <c r="G247" s="84"/>
      <c r="H247" s="85"/>
      <c r="I247" s="71" t="e">
        <f>#REF!&amp;" "&amp;StaffPayroll[[#This Row],[Employee ID Number / Code]]</f>
        <v>#REF!</v>
      </c>
      <c r="J247" s="71" t="str">
        <f>_xlfn.IFNA(VLOOKUP(StaffPayroll[[#This Row],[Position / Title]],Lists!A:C,3,FALSE),"")</f>
        <v/>
      </c>
      <c r="K247" s="71">
        <f>StaffPayroll[[#This Row],[Payroll Period Ends Date (Minimum two months)]]-StaffPayroll[[#This Row],[Payroll Period Begins Date        (Must start after 6/1/2025)]]+1</f>
        <v>1</v>
      </c>
      <c r="L247" s="38">
        <f>IFERROR(IF(VLOOKUP(J247,'Facility Info Input'!$B$25:$D$34,3,FALSE)="",1,VLOOKUP(J247,'Facility Info Input'!$B$25:$D$34,3,FALSE)),0)</f>
        <v>0</v>
      </c>
      <c r="M247" s="22" t="str">
        <f>IF(StaffPayroll[[#This Row],[Employee ID Number / Code]]="","",IF(StaffPayroll[[#This Row],[Position / Title]]="","",VLOOKUP(StaffPayroll[[#This Row],[Position / Title]],Lists!A:C,2,FALSE)))</f>
        <v/>
      </c>
      <c r="N247" s="22">
        <f>IF(C247="",0,StaffPayroll[[#This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7" s="31">
        <f>IF(StaffPayroll[[#This Row],[Hourly WSB  Wage Minimum]]="",0,StaffPayroll[[#This Row],[Annual NF Wage Costs after WSB Minimum]]-StaffPayroll[[#This Row],[Annual NF Wage Costs before WSB Minimum]])</f>
        <v>0</v>
      </c>
      <c r="Q247" s="31">
        <f>IFERROR(IF(StaffPayroll[[#This Row],[Annual Cost of Wage Increase included in Rate Adjustment]]=0,0,P247*'Facility Info Input'!$F$10),0)</f>
        <v>0</v>
      </c>
      <c r="R247" s="32">
        <f>IFERROR(IF(StaffPayroll[[#This Row],[Annual Cost of Wage Increase included in Rate Adjustment]]=0,0,IF('Facility Info Input'!$F$11&lt;=0,0,P247*'Facility Info Input'!$F$11)),0)</f>
        <v>0</v>
      </c>
      <c r="S247" s="32">
        <f>IFERROR(IF(StaffPayroll[[#This Row],[Annual Cost of Wage Increase included in Rate Adjustment]]=0,0,IF('Facility Info Input'!$F$12&lt;=0,0,P247*'Facility Info Input'!$F$12)),0)</f>
        <v>0</v>
      </c>
      <c r="T247" s="32">
        <f t="shared" si="6"/>
        <v>0</v>
      </c>
      <c r="U247" s="33">
        <f t="shared" si="7"/>
        <v>0</v>
      </c>
    </row>
    <row r="248" spans="1:21">
      <c r="A248" s="76"/>
      <c r="B248" s="77"/>
      <c r="C248" s="81"/>
      <c r="D248" s="82"/>
      <c r="E248" s="82"/>
      <c r="F248" s="83"/>
      <c r="G248" s="84"/>
      <c r="H248" s="85"/>
      <c r="I248" s="71" t="e">
        <f>#REF!&amp;" "&amp;StaffPayroll[[#This Row],[Employee ID Number / Code]]</f>
        <v>#REF!</v>
      </c>
      <c r="J248" s="71" t="str">
        <f>_xlfn.IFNA(VLOOKUP(StaffPayroll[[#This Row],[Position / Title]],Lists!A:C,3,FALSE),"")</f>
        <v/>
      </c>
      <c r="K248" s="71">
        <f>StaffPayroll[[#This Row],[Payroll Period Ends Date (Minimum two months)]]-StaffPayroll[[#This Row],[Payroll Period Begins Date        (Must start after 6/1/2025)]]+1</f>
        <v>1</v>
      </c>
      <c r="L248" s="38">
        <f>IFERROR(IF(VLOOKUP(J248,'Facility Info Input'!$B$25:$D$34,3,FALSE)="",1,VLOOKUP(J248,'Facility Info Input'!$B$25:$D$34,3,FALSE)),0)</f>
        <v>0</v>
      </c>
      <c r="M248" s="22" t="str">
        <f>IF(StaffPayroll[[#This Row],[Employee ID Number / Code]]="","",IF(StaffPayroll[[#This Row],[Position / Title]]="","",VLOOKUP(StaffPayroll[[#This Row],[Position / Title]],Lists!A:C,2,FALSE)))</f>
        <v/>
      </c>
      <c r="N248" s="22">
        <f>IF(C248="",0,StaffPayroll[[#This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8" s="31">
        <f>IF(StaffPayroll[[#This Row],[Hourly WSB  Wage Minimum]]="",0,StaffPayroll[[#This Row],[Annual NF Wage Costs after WSB Minimum]]-StaffPayroll[[#This Row],[Annual NF Wage Costs before WSB Minimum]])</f>
        <v>0</v>
      </c>
      <c r="Q248" s="31">
        <f>IFERROR(IF(StaffPayroll[[#This Row],[Annual Cost of Wage Increase included in Rate Adjustment]]=0,0,P248*'Facility Info Input'!$F$10),0)</f>
        <v>0</v>
      </c>
      <c r="R248" s="32">
        <f>IFERROR(IF(StaffPayroll[[#This Row],[Annual Cost of Wage Increase included in Rate Adjustment]]=0,0,IF('Facility Info Input'!$F$11&lt;=0,0,P248*'Facility Info Input'!$F$11)),0)</f>
        <v>0</v>
      </c>
      <c r="S248" s="32">
        <f>IFERROR(IF(StaffPayroll[[#This Row],[Annual Cost of Wage Increase included in Rate Adjustment]]=0,0,IF('Facility Info Input'!$F$12&lt;=0,0,P248*'Facility Info Input'!$F$12)),0)</f>
        <v>0</v>
      </c>
      <c r="T248" s="32">
        <f t="shared" si="6"/>
        <v>0</v>
      </c>
      <c r="U248" s="33">
        <f t="shared" si="7"/>
        <v>0</v>
      </c>
    </row>
    <row r="249" spans="1:21">
      <c r="A249" s="76"/>
      <c r="B249" s="77"/>
      <c r="C249" s="81"/>
      <c r="D249" s="82"/>
      <c r="E249" s="82"/>
      <c r="F249" s="83"/>
      <c r="G249" s="84"/>
      <c r="H249" s="85"/>
      <c r="I249" s="71" t="e">
        <f>#REF!&amp;" "&amp;StaffPayroll[[#This Row],[Employee ID Number / Code]]</f>
        <v>#REF!</v>
      </c>
      <c r="J249" s="71" t="str">
        <f>_xlfn.IFNA(VLOOKUP(StaffPayroll[[#This Row],[Position / Title]],Lists!A:C,3,FALSE),"")</f>
        <v/>
      </c>
      <c r="K249" s="71">
        <f>StaffPayroll[[#This Row],[Payroll Period Ends Date (Minimum two months)]]-StaffPayroll[[#This Row],[Payroll Period Begins Date        (Must start after 6/1/2025)]]+1</f>
        <v>1</v>
      </c>
      <c r="L249" s="38">
        <f>IFERROR(IF(VLOOKUP(J249,'Facility Info Input'!$B$25:$D$34,3,FALSE)="",1,VLOOKUP(J249,'Facility Info Input'!$B$25:$D$34,3,FALSE)),0)</f>
        <v>0</v>
      </c>
      <c r="M249" s="22" t="str">
        <f>IF(StaffPayroll[[#This Row],[Employee ID Number / Code]]="","",IF(StaffPayroll[[#This Row],[Position / Title]]="","",VLOOKUP(StaffPayroll[[#This Row],[Position / Title]],Lists!A:C,2,FALSE)))</f>
        <v/>
      </c>
      <c r="N249" s="22">
        <f>IF(C249="",0,StaffPayroll[[#This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4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49" s="31">
        <f>IF(StaffPayroll[[#This Row],[Hourly WSB  Wage Minimum]]="",0,StaffPayroll[[#This Row],[Annual NF Wage Costs after WSB Minimum]]-StaffPayroll[[#This Row],[Annual NF Wage Costs before WSB Minimum]])</f>
        <v>0</v>
      </c>
      <c r="Q249" s="31">
        <f>IFERROR(IF(StaffPayroll[[#This Row],[Annual Cost of Wage Increase included in Rate Adjustment]]=0,0,P249*'Facility Info Input'!$F$10),0)</f>
        <v>0</v>
      </c>
      <c r="R249" s="32">
        <f>IFERROR(IF(StaffPayroll[[#This Row],[Annual Cost of Wage Increase included in Rate Adjustment]]=0,0,IF('Facility Info Input'!$F$11&lt;=0,0,P249*'Facility Info Input'!$F$11)),0)</f>
        <v>0</v>
      </c>
      <c r="S249" s="32">
        <f>IFERROR(IF(StaffPayroll[[#This Row],[Annual Cost of Wage Increase included in Rate Adjustment]]=0,0,IF('Facility Info Input'!$F$12&lt;=0,0,P249*'Facility Info Input'!$F$12)),0)</f>
        <v>0</v>
      </c>
      <c r="T249" s="32">
        <f t="shared" si="6"/>
        <v>0</v>
      </c>
      <c r="U249" s="33">
        <f t="shared" si="7"/>
        <v>0</v>
      </c>
    </row>
    <row r="250" spans="1:21">
      <c r="A250" s="76"/>
      <c r="B250" s="77"/>
      <c r="C250" s="81"/>
      <c r="D250" s="82"/>
      <c r="E250" s="82"/>
      <c r="F250" s="83"/>
      <c r="G250" s="84"/>
      <c r="H250" s="85"/>
      <c r="I250" s="71" t="e">
        <f>#REF!&amp;" "&amp;StaffPayroll[[#This Row],[Employee ID Number / Code]]</f>
        <v>#REF!</v>
      </c>
      <c r="J250" s="71" t="str">
        <f>_xlfn.IFNA(VLOOKUP(StaffPayroll[[#This Row],[Position / Title]],Lists!A:C,3,FALSE),"")</f>
        <v/>
      </c>
      <c r="K250" s="71">
        <f>StaffPayroll[[#This Row],[Payroll Period Ends Date (Minimum two months)]]-StaffPayroll[[#This Row],[Payroll Period Begins Date        (Must start after 6/1/2025)]]+1</f>
        <v>1</v>
      </c>
      <c r="L250" s="38">
        <f>IFERROR(IF(VLOOKUP(J250,'Facility Info Input'!$B$25:$D$34,3,FALSE)="",1,VLOOKUP(J250,'Facility Info Input'!$B$25:$D$34,3,FALSE)),0)</f>
        <v>0</v>
      </c>
      <c r="M250" s="22" t="str">
        <f>IF(StaffPayroll[[#This Row],[Employee ID Number / Code]]="","",IF(StaffPayroll[[#This Row],[Position / Title]]="","",VLOOKUP(StaffPayroll[[#This Row],[Position / Title]],Lists!A:C,2,FALSE)))</f>
        <v/>
      </c>
      <c r="N250" s="22">
        <f>IF(C250="",0,StaffPayroll[[#This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0" s="31">
        <f>IF(StaffPayroll[[#This Row],[Hourly WSB  Wage Minimum]]="",0,StaffPayroll[[#This Row],[Annual NF Wage Costs after WSB Minimum]]-StaffPayroll[[#This Row],[Annual NF Wage Costs before WSB Minimum]])</f>
        <v>0</v>
      </c>
      <c r="Q250" s="31">
        <f>IFERROR(IF(StaffPayroll[[#This Row],[Annual Cost of Wage Increase included in Rate Adjustment]]=0,0,P250*'Facility Info Input'!$F$10),0)</f>
        <v>0</v>
      </c>
      <c r="R250" s="32">
        <f>IFERROR(IF(StaffPayroll[[#This Row],[Annual Cost of Wage Increase included in Rate Adjustment]]=0,0,IF('Facility Info Input'!$F$11&lt;=0,0,P250*'Facility Info Input'!$F$11)),0)</f>
        <v>0</v>
      </c>
      <c r="S250" s="32">
        <f>IFERROR(IF(StaffPayroll[[#This Row],[Annual Cost of Wage Increase included in Rate Adjustment]]=0,0,IF('Facility Info Input'!$F$12&lt;=0,0,P250*'Facility Info Input'!$F$12)),0)</f>
        <v>0</v>
      </c>
      <c r="T250" s="32">
        <f t="shared" si="6"/>
        <v>0</v>
      </c>
      <c r="U250" s="33">
        <f t="shared" si="7"/>
        <v>0</v>
      </c>
    </row>
    <row r="251" spans="1:21">
      <c r="A251" s="76"/>
      <c r="B251" s="77"/>
      <c r="C251" s="81"/>
      <c r="D251" s="82"/>
      <c r="E251" s="82"/>
      <c r="F251" s="83"/>
      <c r="G251" s="84"/>
      <c r="H251" s="85"/>
      <c r="I251" s="71" t="e">
        <f>#REF!&amp;" "&amp;StaffPayroll[[#This Row],[Employee ID Number / Code]]</f>
        <v>#REF!</v>
      </c>
      <c r="J251" s="71" t="str">
        <f>_xlfn.IFNA(VLOOKUP(StaffPayroll[[#This Row],[Position / Title]],Lists!A:C,3,FALSE),"")</f>
        <v/>
      </c>
      <c r="K251" s="71">
        <f>StaffPayroll[[#This Row],[Payroll Period Ends Date (Minimum two months)]]-StaffPayroll[[#This Row],[Payroll Period Begins Date        (Must start after 6/1/2025)]]+1</f>
        <v>1</v>
      </c>
      <c r="L251" s="38">
        <f>IFERROR(IF(VLOOKUP(J251,'Facility Info Input'!$B$25:$D$34,3,FALSE)="",1,VLOOKUP(J251,'Facility Info Input'!$B$25:$D$34,3,FALSE)),0)</f>
        <v>0</v>
      </c>
      <c r="M251" s="22" t="str">
        <f>IF(StaffPayroll[[#This Row],[Employee ID Number / Code]]="","",IF(StaffPayroll[[#This Row],[Position / Title]]="","",VLOOKUP(StaffPayroll[[#This Row],[Position / Title]],Lists!A:C,2,FALSE)))</f>
        <v/>
      </c>
      <c r="N251" s="22">
        <f>IF(C251="",0,StaffPayroll[[#This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1" s="31">
        <f>IF(StaffPayroll[[#This Row],[Hourly WSB  Wage Minimum]]="",0,StaffPayroll[[#This Row],[Annual NF Wage Costs after WSB Minimum]]-StaffPayroll[[#This Row],[Annual NF Wage Costs before WSB Minimum]])</f>
        <v>0</v>
      </c>
      <c r="Q251" s="31">
        <f>IFERROR(IF(StaffPayroll[[#This Row],[Annual Cost of Wage Increase included in Rate Adjustment]]=0,0,P251*'Facility Info Input'!$F$10),0)</f>
        <v>0</v>
      </c>
      <c r="R251" s="32">
        <f>IFERROR(IF(StaffPayroll[[#This Row],[Annual Cost of Wage Increase included in Rate Adjustment]]=0,0,IF('Facility Info Input'!$F$11&lt;=0,0,P251*'Facility Info Input'!$F$11)),0)</f>
        <v>0</v>
      </c>
      <c r="S251" s="32">
        <f>IFERROR(IF(StaffPayroll[[#This Row],[Annual Cost of Wage Increase included in Rate Adjustment]]=0,0,IF('Facility Info Input'!$F$12&lt;=0,0,P251*'Facility Info Input'!$F$12)),0)</f>
        <v>0</v>
      </c>
      <c r="T251" s="32">
        <f t="shared" si="6"/>
        <v>0</v>
      </c>
      <c r="U251" s="33">
        <f t="shared" si="7"/>
        <v>0</v>
      </c>
    </row>
    <row r="252" spans="1:21">
      <c r="A252" s="76"/>
      <c r="B252" s="77"/>
      <c r="C252" s="81"/>
      <c r="D252" s="82"/>
      <c r="E252" s="82"/>
      <c r="F252" s="83"/>
      <c r="G252" s="84"/>
      <c r="H252" s="85"/>
      <c r="I252" s="71" t="e">
        <f>#REF!&amp;" "&amp;StaffPayroll[[#This Row],[Employee ID Number / Code]]</f>
        <v>#REF!</v>
      </c>
      <c r="J252" s="71" t="str">
        <f>_xlfn.IFNA(VLOOKUP(StaffPayroll[[#This Row],[Position / Title]],Lists!A:C,3,FALSE),"")</f>
        <v/>
      </c>
      <c r="K252" s="71">
        <f>StaffPayroll[[#This Row],[Payroll Period Ends Date (Minimum two months)]]-StaffPayroll[[#This Row],[Payroll Period Begins Date        (Must start after 6/1/2025)]]+1</f>
        <v>1</v>
      </c>
      <c r="L252" s="38">
        <f>IFERROR(IF(VLOOKUP(J252,'Facility Info Input'!$B$25:$D$34,3,FALSE)="",1,VLOOKUP(J252,'Facility Info Input'!$B$25:$D$34,3,FALSE)),0)</f>
        <v>0</v>
      </c>
      <c r="M252" s="22" t="str">
        <f>IF(StaffPayroll[[#This Row],[Employee ID Number / Code]]="","",IF(StaffPayroll[[#This Row],[Position / Title]]="","",VLOOKUP(StaffPayroll[[#This Row],[Position / Title]],Lists!A:C,2,FALSE)))</f>
        <v/>
      </c>
      <c r="N252" s="22">
        <f>IF(C252="",0,StaffPayroll[[#This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2" s="31">
        <f>IF(StaffPayroll[[#This Row],[Hourly WSB  Wage Minimum]]="",0,StaffPayroll[[#This Row],[Annual NF Wage Costs after WSB Minimum]]-StaffPayroll[[#This Row],[Annual NF Wage Costs before WSB Minimum]])</f>
        <v>0</v>
      </c>
      <c r="Q252" s="31">
        <f>IFERROR(IF(StaffPayroll[[#This Row],[Annual Cost of Wage Increase included in Rate Adjustment]]=0,0,P252*'Facility Info Input'!$F$10),0)</f>
        <v>0</v>
      </c>
      <c r="R252" s="32">
        <f>IFERROR(IF(StaffPayroll[[#This Row],[Annual Cost of Wage Increase included in Rate Adjustment]]=0,0,IF('Facility Info Input'!$F$11&lt;=0,0,P252*'Facility Info Input'!$F$11)),0)</f>
        <v>0</v>
      </c>
      <c r="S252" s="32">
        <f>IFERROR(IF(StaffPayroll[[#This Row],[Annual Cost of Wage Increase included in Rate Adjustment]]=0,0,IF('Facility Info Input'!$F$12&lt;=0,0,P252*'Facility Info Input'!$F$12)),0)</f>
        <v>0</v>
      </c>
      <c r="T252" s="32">
        <f t="shared" si="6"/>
        <v>0</v>
      </c>
      <c r="U252" s="33">
        <f t="shared" si="7"/>
        <v>0</v>
      </c>
    </row>
    <row r="253" spans="1:21">
      <c r="A253" s="76"/>
      <c r="B253" s="77"/>
      <c r="C253" s="81"/>
      <c r="D253" s="82"/>
      <c r="E253" s="82"/>
      <c r="F253" s="83"/>
      <c r="G253" s="84"/>
      <c r="H253" s="85"/>
      <c r="I253" s="71" t="e">
        <f>#REF!&amp;" "&amp;StaffPayroll[[#This Row],[Employee ID Number / Code]]</f>
        <v>#REF!</v>
      </c>
      <c r="J253" s="71" t="str">
        <f>_xlfn.IFNA(VLOOKUP(StaffPayroll[[#This Row],[Position / Title]],Lists!A:C,3,FALSE),"")</f>
        <v/>
      </c>
      <c r="K253" s="71">
        <f>StaffPayroll[[#This Row],[Payroll Period Ends Date (Minimum two months)]]-StaffPayroll[[#This Row],[Payroll Period Begins Date        (Must start after 6/1/2025)]]+1</f>
        <v>1</v>
      </c>
      <c r="L253" s="38">
        <f>IFERROR(IF(VLOOKUP(J253,'Facility Info Input'!$B$25:$D$34,3,FALSE)="",1,VLOOKUP(J253,'Facility Info Input'!$B$25:$D$34,3,FALSE)),0)</f>
        <v>0</v>
      </c>
      <c r="M253" s="22" t="str">
        <f>IF(StaffPayroll[[#This Row],[Employee ID Number / Code]]="","",IF(StaffPayroll[[#This Row],[Position / Title]]="","",VLOOKUP(StaffPayroll[[#This Row],[Position / Title]],Lists!A:C,2,FALSE)))</f>
        <v/>
      </c>
      <c r="N253" s="22">
        <f>IF(C253="",0,StaffPayroll[[#This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3" s="31">
        <f>IF(StaffPayroll[[#This Row],[Hourly WSB  Wage Minimum]]="",0,StaffPayroll[[#This Row],[Annual NF Wage Costs after WSB Minimum]]-StaffPayroll[[#This Row],[Annual NF Wage Costs before WSB Minimum]])</f>
        <v>0</v>
      </c>
      <c r="Q253" s="31">
        <f>IFERROR(IF(StaffPayroll[[#This Row],[Annual Cost of Wage Increase included in Rate Adjustment]]=0,0,P253*'Facility Info Input'!$F$10),0)</f>
        <v>0</v>
      </c>
      <c r="R253" s="32">
        <f>IFERROR(IF(StaffPayroll[[#This Row],[Annual Cost of Wage Increase included in Rate Adjustment]]=0,0,IF('Facility Info Input'!$F$11&lt;=0,0,P253*'Facility Info Input'!$F$11)),0)</f>
        <v>0</v>
      </c>
      <c r="S253" s="32">
        <f>IFERROR(IF(StaffPayroll[[#This Row],[Annual Cost of Wage Increase included in Rate Adjustment]]=0,0,IF('Facility Info Input'!$F$12&lt;=0,0,P253*'Facility Info Input'!$F$12)),0)</f>
        <v>0</v>
      </c>
      <c r="T253" s="32">
        <f t="shared" si="6"/>
        <v>0</v>
      </c>
      <c r="U253" s="33">
        <f t="shared" si="7"/>
        <v>0</v>
      </c>
    </row>
    <row r="254" spans="1:21">
      <c r="A254" s="76"/>
      <c r="B254" s="77"/>
      <c r="C254" s="81"/>
      <c r="D254" s="82"/>
      <c r="E254" s="82"/>
      <c r="F254" s="83"/>
      <c r="G254" s="84"/>
      <c r="H254" s="85"/>
      <c r="I254" s="71" t="e">
        <f>#REF!&amp;" "&amp;StaffPayroll[[#This Row],[Employee ID Number / Code]]</f>
        <v>#REF!</v>
      </c>
      <c r="J254" s="71" t="str">
        <f>_xlfn.IFNA(VLOOKUP(StaffPayroll[[#This Row],[Position / Title]],Lists!A:C,3,FALSE),"")</f>
        <v/>
      </c>
      <c r="K254" s="71">
        <f>StaffPayroll[[#This Row],[Payroll Period Ends Date (Minimum two months)]]-StaffPayroll[[#This Row],[Payroll Period Begins Date        (Must start after 6/1/2025)]]+1</f>
        <v>1</v>
      </c>
      <c r="L254" s="38">
        <f>IFERROR(IF(VLOOKUP(J254,'Facility Info Input'!$B$25:$D$34,3,FALSE)="",1,VLOOKUP(J254,'Facility Info Input'!$B$25:$D$34,3,FALSE)),0)</f>
        <v>0</v>
      </c>
      <c r="M254" s="22" t="str">
        <f>IF(StaffPayroll[[#This Row],[Employee ID Number / Code]]="","",IF(StaffPayroll[[#This Row],[Position / Title]]="","",VLOOKUP(StaffPayroll[[#This Row],[Position / Title]],Lists!A:C,2,FALSE)))</f>
        <v/>
      </c>
      <c r="N254" s="22">
        <f>IF(C254="",0,StaffPayroll[[#This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4" s="31">
        <f>IF(StaffPayroll[[#This Row],[Hourly WSB  Wage Minimum]]="",0,StaffPayroll[[#This Row],[Annual NF Wage Costs after WSB Minimum]]-StaffPayroll[[#This Row],[Annual NF Wage Costs before WSB Minimum]])</f>
        <v>0</v>
      </c>
      <c r="Q254" s="31">
        <f>IFERROR(IF(StaffPayroll[[#This Row],[Annual Cost of Wage Increase included in Rate Adjustment]]=0,0,P254*'Facility Info Input'!$F$10),0)</f>
        <v>0</v>
      </c>
      <c r="R254" s="32">
        <f>IFERROR(IF(StaffPayroll[[#This Row],[Annual Cost of Wage Increase included in Rate Adjustment]]=0,0,IF('Facility Info Input'!$F$11&lt;=0,0,P254*'Facility Info Input'!$F$11)),0)</f>
        <v>0</v>
      </c>
      <c r="S254" s="32">
        <f>IFERROR(IF(StaffPayroll[[#This Row],[Annual Cost of Wage Increase included in Rate Adjustment]]=0,0,IF('Facility Info Input'!$F$12&lt;=0,0,P254*'Facility Info Input'!$F$12)),0)</f>
        <v>0</v>
      </c>
      <c r="T254" s="32">
        <f t="shared" si="6"/>
        <v>0</v>
      </c>
      <c r="U254" s="33">
        <f t="shared" si="7"/>
        <v>0</v>
      </c>
    </row>
    <row r="255" spans="1:21">
      <c r="A255" s="76"/>
      <c r="B255" s="77"/>
      <c r="C255" s="81"/>
      <c r="D255" s="82"/>
      <c r="E255" s="82"/>
      <c r="F255" s="83"/>
      <c r="G255" s="84"/>
      <c r="H255" s="85"/>
      <c r="I255" s="71" t="e">
        <f>#REF!&amp;" "&amp;StaffPayroll[[#This Row],[Employee ID Number / Code]]</f>
        <v>#REF!</v>
      </c>
      <c r="J255" s="71" t="str">
        <f>_xlfn.IFNA(VLOOKUP(StaffPayroll[[#This Row],[Position / Title]],Lists!A:C,3,FALSE),"")</f>
        <v/>
      </c>
      <c r="K255" s="71">
        <f>StaffPayroll[[#This Row],[Payroll Period Ends Date (Minimum two months)]]-StaffPayroll[[#This Row],[Payroll Period Begins Date        (Must start after 6/1/2025)]]+1</f>
        <v>1</v>
      </c>
      <c r="L255" s="38">
        <f>IFERROR(IF(VLOOKUP(J255,'Facility Info Input'!$B$25:$D$34,3,FALSE)="",1,VLOOKUP(J255,'Facility Info Input'!$B$25:$D$34,3,FALSE)),0)</f>
        <v>0</v>
      </c>
      <c r="M255" s="22" t="str">
        <f>IF(StaffPayroll[[#This Row],[Employee ID Number / Code]]="","",IF(StaffPayroll[[#This Row],[Position / Title]]="","",VLOOKUP(StaffPayroll[[#This Row],[Position / Title]],Lists!A:C,2,FALSE)))</f>
        <v/>
      </c>
      <c r="N255" s="22">
        <f>IF(C255="",0,StaffPayroll[[#This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5" s="31">
        <f>IF(StaffPayroll[[#This Row],[Hourly WSB  Wage Minimum]]="",0,StaffPayroll[[#This Row],[Annual NF Wage Costs after WSB Minimum]]-StaffPayroll[[#This Row],[Annual NF Wage Costs before WSB Minimum]])</f>
        <v>0</v>
      </c>
      <c r="Q255" s="31">
        <f>IFERROR(IF(StaffPayroll[[#This Row],[Annual Cost of Wage Increase included in Rate Adjustment]]=0,0,P255*'Facility Info Input'!$F$10),0)</f>
        <v>0</v>
      </c>
      <c r="R255" s="32">
        <f>IFERROR(IF(StaffPayroll[[#This Row],[Annual Cost of Wage Increase included in Rate Adjustment]]=0,0,IF('Facility Info Input'!$F$11&lt;=0,0,P255*'Facility Info Input'!$F$11)),0)</f>
        <v>0</v>
      </c>
      <c r="S255" s="32">
        <f>IFERROR(IF(StaffPayroll[[#This Row],[Annual Cost of Wage Increase included in Rate Adjustment]]=0,0,IF('Facility Info Input'!$F$12&lt;=0,0,P255*'Facility Info Input'!$F$12)),0)</f>
        <v>0</v>
      </c>
      <c r="T255" s="32">
        <f t="shared" si="6"/>
        <v>0</v>
      </c>
      <c r="U255" s="33">
        <f t="shared" si="7"/>
        <v>0</v>
      </c>
    </row>
    <row r="256" spans="1:21">
      <c r="A256" s="76"/>
      <c r="B256" s="77"/>
      <c r="C256" s="81"/>
      <c r="D256" s="82"/>
      <c r="E256" s="82"/>
      <c r="F256" s="83"/>
      <c r="G256" s="84"/>
      <c r="H256" s="85"/>
      <c r="I256" s="71" t="e">
        <f>#REF!&amp;" "&amp;StaffPayroll[[#This Row],[Employee ID Number / Code]]</f>
        <v>#REF!</v>
      </c>
      <c r="J256" s="71" t="str">
        <f>_xlfn.IFNA(VLOOKUP(StaffPayroll[[#This Row],[Position / Title]],Lists!A:C,3,FALSE),"")</f>
        <v/>
      </c>
      <c r="K256" s="71">
        <f>StaffPayroll[[#This Row],[Payroll Period Ends Date (Minimum two months)]]-StaffPayroll[[#This Row],[Payroll Period Begins Date        (Must start after 6/1/2025)]]+1</f>
        <v>1</v>
      </c>
      <c r="L256" s="38">
        <f>IFERROR(IF(VLOOKUP(J256,'Facility Info Input'!$B$25:$D$34,3,FALSE)="",1,VLOOKUP(J256,'Facility Info Input'!$B$25:$D$34,3,FALSE)),0)</f>
        <v>0</v>
      </c>
      <c r="M256" s="22" t="str">
        <f>IF(StaffPayroll[[#This Row],[Employee ID Number / Code]]="","",IF(StaffPayroll[[#This Row],[Position / Title]]="","",VLOOKUP(StaffPayroll[[#This Row],[Position / Title]],Lists!A:C,2,FALSE)))</f>
        <v/>
      </c>
      <c r="N256" s="22">
        <f>IF(C256="",0,StaffPayroll[[#This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6" s="31">
        <f>IF(StaffPayroll[[#This Row],[Hourly WSB  Wage Minimum]]="",0,StaffPayroll[[#This Row],[Annual NF Wage Costs after WSB Minimum]]-StaffPayroll[[#This Row],[Annual NF Wage Costs before WSB Minimum]])</f>
        <v>0</v>
      </c>
      <c r="Q256" s="31">
        <f>IFERROR(IF(StaffPayroll[[#This Row],[Annual Cost of Wage Increase included in Rate Adjustment]]=0,0,P256*'Facility Info Input'!$F$10),0)</f>
        <v>0</v>
      </c>
      <c r="R256" s="32">
        <f>IFERROR(IF(StaffPayroll[[#This Row],[Annual Cost of Wage Increase included in Rate Adjustment]]=0,0,IF('Facility Info Input'!$F$11&lt;=0,0,P256*'Facility Info Input'!$F$11)),0)</f>
        <v>0</v>
      </c>
      <c r="S256" s="32">
        <f>IFERROR(IF(StaffPayroll[[#This Row],[Annual Cost of Wage Increase included in Rate Adjustment]]=0,0,IF('Facility Info Input'!$F$12&lt;=0,0,P256*'Facility Info Input'!$F$12)),0)</f>
        <v>0</v>
      </c>
      <c r="T256" s="32">
        <f t="shared" si="6"/>
        <v>0</v>
      </c>
      <c r="U256" s="33">
        <f t="shared" si="7"/>
        <v>0</v>
      </c>
    </row>
    <row r="257" spans="1:21">
      <c r="A257" s="76"/>
      <c r="B257" s="77"/>
      <c r="C257" s="81"/>
      <c r="D257" s="82"/>
      <c r="E257" s="82"/>
      <c r="F257" s="83"/>
      <c r="G257" s="84"/>
      <c r="H257" s="85"/>
      <c r="I257" s="71" t="e">
        <f>#REF!&amp;" "&amp;StaffPayroll[[#This Row],[Employee ID Number / Code]]</f>
        <v>#REF!</v>
      </c>
      <c r="J257" s="71" t="str">
        <f>_xlfn.IFNA(VLOOKUP(StaffPayroll[[#This Row],[Position / Title]],Lists!A:C,3,FALSE),"")</f>
        <v/>
      </c>
      <c r="K257" s="71">
        <f>StaffPayroll[[#This Row],[Payroll Period Ends Date (Minimum two months)]]-StaffPayroll[[#This Row],[Payroll Period Begins Date        (Must start after 6/1/2025)]]+1</f>
        <v>1</v>
      </c>
      <c r="L257" s="38">
        <f>IFERROR(IF(VLOOKUP(J257,'Facility Info Input'!$B$25:$D$34,3,FALSE)="",1,VLOOKUP(J257,'Facility Info Input'!$B$25:$D$34,3,FALSE)),0)</f>
        <v>0</v>
      </c>
      <c r="M257" s="22" t="str">
        <f>IF(StaffPayroll[[#This Row],[Employee ID Number / Code]]="","",IF(StaffPayroll[[#This Row],[Position / Title]]="","",VLOOKUP(StaffPayroll[[#This Row],[Position / Title]],Lists!A:C,2,FALSE)))</f>
        <v/>
      </c>
      <c r="N257" s="22">
        <f>IF(C257="",0,StaffPayroll[[#This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7" s="31">
        <f>IF(StaffPayroll[[#This Row],[Hourly WSB  Wage Minimum]]="",0,StaffPayroll[[#This Row],[Annual NF Wage Costs after WSB Minimum]]-StaffPayroll[[#This Row],[Annual NF Wage Costs before WSB Minimum]])</f>
        <v>0</v>
      </c>
      <c r="Q257" s="31">
        <f>IFERROR(IF(StaffPayroll[[#This Row],[Annual Cost of Wage Increase included in Rate Adjustment]]=0,0,P257*'Facility Info Input'!$F$10),0)</f>
        <v>0</v>
      </c>
      <c r="R257" s="32">
        <f>IFERROR(IF(StaffPayroll[[#This Row],[Annual Cost of Wage Increase included in Rate Adjustment]]=0,0,IF('Facility Info Input'!$F$11&lt;=0,0,P257*'Facility Info Input'!$F$11)),0)</f>
        <v>0</v>
      </c>
      <c r="S257" s="32">
        <f>IFERROR(IF(StaffPayroll[[#This Row],[Annual Cost of Wage Increase included in Rate Adjustment]]=0,0,IF('Facility Info Input'!$F$12&lt;=0,0,P257*'Facility Info Input'!$F$12)),0)</f>
        <v>0</v>
      </c>
      <c r="T257" s="32">
        <f t="shared" si="6"/>
        <v>0</v>
      </c>
      <c r="U257" s="33">
        <f t="shared" si="7"/>
        <v>0</v>
      </c>
    </row>
    <row r="258" spans="1:21">
      <c r="A258" s="76"/>
      <c r="B258" s="77"/>
      <c r="C258" s="81"/>
      <c r="D258" s="82"/>
      <c r="E258" s="82"/>
      <c r="F258" s="83"/>
      <c r="G258" s="84"/>
      <c r="H258" s="85"/>
      <c r="I258" s="71" t="e">
        <f>#REF!&amp;" "&amp;StaffPayroll[[#This Row],[Employee ID Number / Code]]</f>
        <v>#REF!</v>
      </c>
      <c r="J258" s="71" t="str">
        <f>_xlfn.IFNA(VLOOKUP(StaffPayroll[[#This Row],[Position / Title]],Lists!A:C,3,FALSE),"")</f>
        <v/>
      </c>
      <c r="K258" s="71">
        <f>StaffPayroll[[#This Row],[Payroll Period Ends Date (Minimum two months)]]-StaffPayroll[[#This Row],[Payroll Period Begins Date        (Must start after 6/1/2025)]]+1</f>
        <v>1</v>
      </c>
      <c r="L258" s="38">
        <f>IFERROR(IF(VLOOKUP(J258,'Facility Info Input'!$B$25:$D$34,3,FALSE)="",1,VLOOKUP(J258,'Facility Info Input'!$B$25:$D$34,3,FALSE)),0)</f>
        <v>0</v>
      </c>
      <c r="M258" s="22" t="str">
        <f>IF(StaffPayroll[[#This Row],[Employee ID Number / Code]]="","",IF(StaffPayroll[[#This Row],[Position / Title]]="","",VLOOKUP(StaffPayroll[[#This Row],[Position / Title]],Lists!A:C,2,FALSE)))</f>
        <v/>
      </c>
      <c r="N258" s="22">
        <f>IF(C258="",0,StaffPayroll[[#This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8" s="31">
        <f>IF(StaffPayroll[[#This Row],[Hourly WSB  Wage Minimum]]="",0,StaffPayroll[[#This Row],[Annual NF Wage Costs after WSB Minimum]]-StaffPayroll[[#This Row],[Annual NF Wage Costs before WSB Minimum]])</f>
        <v>0</v>
      </c>
      <c r="Q258" s="31">
        <f>IFERROR(IF(StaffPayroll[[#This Row],[Annual Cost of Wage Increase included in Rate Adjustment]]=0,0,P258*'Facility Info Input'!$F$10),0)</f>
        <v>0</v>
      </c>
      <c r="R258" s="32">
        <f>IFERROR(IF(StaffPayroll[[#This Row],[Annual Cost of Wage Increase included in Rate Adjustment]]=0,0,IF('Facility Info Input'!$F$11&lt;=0,0,P258*'Facility Info Input'!$F$11)),0)</f>
        <v>0</v>
      </c>
      <c r="S258" s="32">
        <f>IFERROR(IF(StaffPayroll[[#This Row],[Annual Cost of Wage Increase included in Rate Adjustment]]=0,0,IF('Facility Info Input'!$F$12&lt;=0,0,P258*'Facility Info Input'!$F$12)),0)</f>
        <v>0</v>
      </c>
      <c r="T258" s="32">
        <f t="shared" ref="T258:T321" si="8">IFERROR(IF(G258="Yes",H258*P258,0),0)</f>
        <v>0</v>
      </c>
      <c r="U258" s="33">
        <f t="shared" si="7"/>
        <v>0</v>
      </c>
    </row>
    <row r="259" spans="1:21">
      <c r="A259" s="76"/>
      <c r="B259" s="77"/>
      <c r="C259" s="81"/>
      <c r="D259" s="82"/>
      <c r="E259" s="82"/>
      <c r="F259" s="83"/>
      <c r="G259" s="84"/>
      <c r="H259" s="85"/>
      <c r="I259" s="71" t="e">
        <f>#REF!&amp;" "&amp;StaffPayroll[[#This Row],[Employee ID Number / Code]]</f>
        <v>#REF!</v>
      </c>
      <c r="J259" s="71" t="str">
        <f>_xlfn.IFNA(VLOOKUP(StaffPayroll[[#This Row],[Position / Title]],Lists!A:C,3,FALSE),"")</f>
        <v/>
      </c>
      <c r="K259" s="71">
        <f>StaffPayroll[[#This Row],[Payroll Period Ends Date (Minimum two months)]]-StaffPayroll[[#This Row],[Payroll Period Begins Date        (Must start after 6/1/2025)]]+1</f>
        <v>1</v>
      </c>
      <c r="L259" s="38">
        <f>IFERROR(IF(VLOOKUP(J259,'Facility Info Input'!$B$25:$D$34,3,FALSE)="",1,VLOOKUP(J259,'Facility Info Input'!$B$25:$D$34,3,FALSE)),0)</f>
        <v>0</v>
      </c>
      <c r="M259" s="22" t="str">
        <f>IF(StaffPayroll[[#This Row],[Employee ID Number / Code]]="","",IF(StaffPayroll[[#This Row],[Position / Title]]="","",VLOOKUP(StaffPayroll[[#This Row],[Position / Title]],Lists!A:C,2,FALSE)))</f>
        <v/>
      </c>
      <c r="N259" s="22">
        <f>IF(C259="",0,StaffPayroll[[#This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5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59" s="31">
        <f>IF(StaffPayroll[[#This Row],[Hourly WSB  Wage Minimum]]="",0,StaffPayroll[[#This Row],[Annual NF Wage Costs after WSB Minimum]]-StaffPayroll[[#This Row],[Annual NF Wage Costs before WSB Minimum]])</f>
        <v>0</v>
      </c>
      <c r="Q259" s="31">
        <f>IFERROR(IF(StaffPayroll[[#This Row],[Annual Cost of Wage Increase included in Rate Adjustment]]=0,0,P259*'Facility Info Input'!$F$10),0)</f>
        <v>0</v>
      </c>
      <c r="R259" s="32">
        <f>IFERROR(IF(StaffPayroll[[#This Row],[Annual Cost of Wage Increase included in Rate Adjustment]]=0,0,IF('Facility Info Input'!$F$11&lt;=0,0,P259*'Facility Info Input'!$F$11)),0)</f>
        <v>0</v>
      </c>
      <c r="S259" s="32">
        <f>IFERROR(IF(StaffPayroll[[#This Row],[Annual Cost of Wage Increase included in Rate Adjustment]]=0,0,IF('Facility Info Input'!$F$12&lt;=0,0,P259*'Facility Info Input'!$F$12)),0)</f>
        <v>0</v>
      </c>
      <c r="T259" s="32">
        <f t="shared" si="8"/>
        <v>0</v>
      </c>
      <c r="U259" s="33">
        <f t="shared" ref="U259:U322" si="9">IFERROR(SUM(P259:T259),0)</f>
        <v>0</v>
      </c>
    </row>
    <row r="260" spans="1:21">
      <c r="A260" s="76"/>
      <c r="B260" s="77"/>
      <c r="C260" s="81"/>
      <c r="D260" s="82"/>
      <c r="E260" s="82"/>
      <c r="F260" s="83"/>
      <c r="G260" s="84"/>
      <c r="H260" s="85"/>
      <c r="I260" s="71" t="e">
        <f>#REF!&amp;" "&amp;StaffPayroll[[#This Row],[Employee ID Number / Code]]</f>
        <v>#REF!</v>
      </c>
      <c r="J260" s="71" t="str">
        <f>_xlfn.IFNA(VLOOKUP(StaffPayroll[[#This Row],[Position / Title]],Lists!A:C,3,FALSE),"")</f>
        <v/>
      </c>
      <c r="K260" s="71">
        <f>StaffPayroll[[#This Row],[Payroll Period Ends Date (Minimum two months)]]-StaffPayroll[[#This Row],[Payroll Period Begins Date        (Must start after 6/1/2025)]]+1</f>
        <v>1</v>
      </c>
      <c r="L260" s="38">
        <f>IFERROR(IF(VLOOKUP(J260,'Facility Info Input'!$B$25:$D$34,3,FALSE)="",1,VLOOKUP(J260,'Facility Info Input'!$B$25:$D$34,3,FALSE)),0)</f>
        <v>0</v>
      </c>
      <c r="M260" s="22" t="str">
        <f>IF(StaffPayroll[[#This Row],[Employee ID Number / Code]]="","",IF(StaffPayroll[[#This Row],[Position / Title]]="","",VLOOKUP(StaffPayroll[[#This Row],[Position / Title]],Lists!A:C,2,FALSE)))</f>
        <v/>
      </c>
      <c r="N260" s="22">
        <f>IF(C260="",0,StaffPayroll[[#This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0" s="31">
        <f>IF(StaffPayroll[[#This Row],[Hourly WSB  Wage Minimum]]="",0,StaffPayroll[[#This Row],[Annual NF Wage Costs after WSB Minimum]]-StaffPayroll[[#This Row],[Annual NF Wage Costs before WSB Minimum]])</f>
        <v>0</v>
      </c>
      <c r="Q260" s="31">
        <f>IFERROR(IF(StaffPayroll[[#This Row],[Annual Cost of Wage Increase included in Rate Adjustment]]=0,0,P260*'Facility Info Input'!$F$10),0)</f>
        <v>0</v>
      </c>
      <c r="R260" s="32">
        <f>IFERROR(IF(StaffPayroll[[#This Row],[Annual Cost of Wage Increase included in Rate Adjustment]]=0,0,IF('Facility Info Input'!$F$11&lt;=0,0,P260*'Facility Info Input'!$F$11)),0)</f>
        <v>0</v>
      </c>
      <c r="S260" s="32">
        <f>IFERROR(IF(StaffPayroll[[#This Row],[Annual Cost of Wage Increase included in Rate Adjustment]]=0,0,IF('Facility Info Input'!$F$12&lt;=0,0,P260*'Facility Info Input'!$F$12)),0)</f>
        <v>0</v>
      </c>
      <c r="T260" s="32">
        <f t="shared" si="8"/>
        <v>0</v>
      </c>
      <c r="U260" s="33">
        <f t="shared" si="9"/>
        <v>0</v>
      </c>
    </row>
    <row r="261" spans="1:21">
      <c r="A261" s="76"/>
      <c r="B261" s="77"/>
      <c r="C261" s="81"/>
      <c r="D261" s="82"/>
      <c r="E261" s="82"/>
      <c r="F261" s="83"/>
      <c r="G261" s="84"/>
      <c r="H261" s="85"/>
      <c r="I261" s="71" t="e">
        <f>#REF!&amp;" "&amp;StaffPayroll[[#This Row],[Employee ID Number / Code]]</f>
        <v>#REF!</v>
      </c>
      <c r="J261" s="71" t="str">
        <f>_xlfn.IFNA(VLOOKUP(StaffPayroll[[#This Row],[Position / Title]],Lists!A:C,3,FALSE),"")</f>
        <v/>
      </c>
      <c r="K261" s="71">
        <f>StaffPayroll[[#This Row],[Payroll Period Ends Date (Minimum two months)]]-StaffPayroll[[#This Row],[Payroll Period Begins Date        (Must start after 6/1/2025)]]+1</f>
        <v>1</v>
      </c>
      <c r="L261" s="38">
        <f>IFERROR(IF(VLOOKUP(J261,'Facility Info Input'!$B$25:$D$34,3,FALSE)="",1,VLOOKUP(J261,'Facility Info Input'!$B$25:$D$34,3,FALSE)),0)</f>
        <v>0</v>
      </c>
      <c r="M261" s="22" t="str">
        <f>IF(StaffPayroll[[#This Row],[Employee ID Number / Code]]="","",IF(StaffPayroll[[#This Row],[Position / Title]]="","",VLOOKUP(StaffPayroll[[#This Row],[Position / Title]],Lists!A:C,2,FALSE)))</f>
        <v/>
      </c>
      <c r="N261" s="22">
        <f>IF(C261="",0,StaffPayroll[[#This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1" s="31">
        <f>IF(StaffPayroll[[#This Row],[Hourly WSB  Wage Minimum]]="",0,StaffPayroll[[#This Row],[Annual NF Wage Costs after WSB Minimum]]-StaffPayroll[[#This Row],[Annual NF Wage Costs before WSB Minimum]])</f>
        <v>0</v>
      </c>
      <c r="Q261" s="31">
        <f>IFERROR(IF(StaffPayroll[[#This Row],[Annual Cost of Wage Increase included in Rate Adjustment]]=0,0,P261*'Facility Info Input'!$F$10),0)</f>
        <v>0</v>
      </c>
      <c r="R261" s="32">
        <f>IFERROR(IF(StaffPayroll[[#This Row],[Annual Cost of Wage Increase included in Rate Adjustment]]=0,0,IF('Facility Info Input'!$F$11&lt;=0,0,P261*'Facility Info Input'!$F$11)),0)</f>
        <v>0</v>
      </c>
      <c r="S261" s="32">
        <f>IFERROR(IF(StaffPayroll[[#This Row],[Annual Cost of Wage Increase included in Rate Adjustment]]=0,0,IF('Facility Info Input'!$F$12&lt;=0,0,P261*'Facility Info Input'!$F$12)),0)</f>
        <v>0</v>
      </c>
      <c r="T261" s="32">
        <f t="shared" si="8"/>
        <v>0</v>
      </c>
      <c r="U261" s="33">
        <f t="shared" si="9"/>
        <v>0</v>
      </c>
    </row>
    <row r="262" spans="1:21">
      <c r="A262" s="76"/>
      <c r="B262" s="77"/>
      <c r="C262" s="81"/>
      <c r="D262" s="82"/>
      <c r="E262" s="82"/>
      <c r="F262" s="83"/>
      <c r="G262" s="84"/>
      <c r="H262" s="85"/>
      <c r="I262" s="71" t="e">
        <f>#REF!&amp;" "&amp;StaffPayroll[[#This Row],[Employee ID Number / Code]]</f>
        <v>#REF!</v>
      </c>
      <c r="J262" s="71" t="str">
        <f>_xlfn.IFNA(VLOOKUP(StaffPayroll[[#This Row],[Position / Title]],Lists!A:C,3,FALSE),"")</f>
        <v/>
      </c>
      <c r="K262" s="71">
        <f>StaffPayroll[[#This Row],[Payroll Period Ends Date (Minimum two months)]]-StaffPayroll[[#This Row],[Payroll Period Begins Date        (Must start after 6/1/2025)]]+1</f>
        <v>1</v>
      </c>
      <c r="L262" s="38">
        <f>IFERROR(IF(VLOOKUP(J262,'Facility Info Input'!$B$25:$D$34,3,FALSE)="",1,VLOOKUP(J262,'Facility Info Input'!$B$25:$D$34,3,FALSE)),0)</f>
        <v>0</v>
      </c>
      <c r="M262" s="22" t="str">
        <f>IF(StaffPayroll[[#This Row],[Employee ID Number / Code]]="","",IF(StaffPayroll[[#This Row],[Position / Title]]="","",VLOOKUP(StaffPayroll[[#This Row],[Position / Title]],Lists!A:C,2,FALSE)))</f>
        <v/>
      </c>
      <c r="N262" s="22">
        <f>IF(C262="",0,StaffPayroll[[#This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2" s="31">
        <f>IF(StaffPayroll[[#This Row],[Hourly WSB  Wage Minimum]]="",0,StaffPayroll[[#This Row],[Annual NF Wage Costs after WSB Minimum]]-StaffPayroll[[#This Row],[Annual NF Wage Costs before WSB Minimum]])</f>
        <v>0</v>
      </c>
      <c r="Q262" s="31">
        <f>IFERROR(IF(StaffPayroll[[#This Row],[Annual Cost of Wage Increase included in Rate Adjustment]]=0,0,P262*'Facility Info Input'!$F$10),0)</f>
        <v>0</v>
      </c>
      <c r="R262" s="32">
        <f>IFERROR(IF(StaffPayroll[[#This Row],[Annual Cost of Wage Increase included in Rate Adjustment]]=0,0,IF('Facility Info Input'!$F$11&lt;=0,0,P262*'Facility Info Input'!$F$11)),0)</f>
        <v>0</v>
      </c>
      <c r="S262" s="32">
        <f>IFERROR(IF(StaffPayroll[[#This Row],[Annual Cost of Wage Increase included in Rate Adjustment]]=0,0,IF('Facility Info Input'!$F$12&lt;=0,0,P262*'Facility Info Input'!$F$12)),0)</f>
        <v>0</v>
      </c>
      <c r="T262" s="32">
        <f t="shared" si="8"/>
        <v>0</v>
      </c>
      <c r="U262" s="33">
        <f t="shared" si="9"/>
        <v>0</v>
      </c>
    </row>
    <row r="263" spans="1:21">
      <c r="A263" s="76"/>
      <c r="B263" s="77"/>
      <c r="C263" s="81"/>
      <c r="D263" s="82"/>
      <c r="E263" s="82"/>
      <c r="F263" s="83"/>
      <c r="G263" s="84"/>
      <c r="H263" s="85"/>
      <c r="I263" s="71" t="e">
        <f>#REF!&amp;" "&amp;StaffPayroll[[#This Row],[Employee ID Number / Code]]</f>
        <v>#REF!</v>
      </c>
      <c r="J263" s="71" t="str">
        <f>_xlfn.IFNA(VLOOKUP(StaffPayroll[[#This Row],[Position / Title]],Lists!A:C,3,FALSE),"")</f>
        <v/>
      </c>
      <c r="K263" s="71">
        <f>StaffPayroll[[#This Row],[Payroll Period Ends Date (Minimum two months)]]-StaffPayroll[[#This Row],[Payroll Period Begins Date        (Must start after 6/1/2025)]]+1</f>
        <v>1</v>
      </c>
      <c r="L263" s="38">
        <f>IFERROR(IF(VLOOKUP(J263,'Facility Info Input'!$B$25:$D$34,3,FALSE)="",1,VLOOKUP(J263,'Facility Info Input'!$B$25:$D$34,3,FALSE)),0)</f>
        <v>0</v>
      </c>
      <c r="M263" s="22" t="str">
        <f>IF(StaffPayroll[[#This Row],[Employee ID Number / Code]]="","",IF(StaffPayroll[[#This Row],[Position / Title]]="","",VLOOKUP(StaffPayroll[[#This Row],[Position / Title]],Lists!A:C,2,FALSE)))</f>
        <v/>
      </c>
      <c r="N263" s="22">
        <f>IF(C263="",0,StaffPayroll[[#This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3" s="31">
        <f>IF(StaffPayroll[[#This Row],[Hourly WSB  Wage Minimum]]="",0,StaffPayroll[[#This Row],[Annual NF Wage Costs after WSB Minimum]]-StaffPayroll[[#This Row],[Annual NF Wage Costs before WSB Minimum]])</f>
        <v>0</v>
      </c>
      <c r="Q263" s="31">
        <f>IFERROR(IF(StaffPayroll[[#This Row],[Annual Cost of Wage Increase included in Rate Adjustment]]=0,0,P263*'Facility Info Input'!$F$10),0)</f>
        <v>0</v>
      </c>
      <c r="R263" s="32">
        <f>IFERROR(IF(StaffPayroll[[#This Row],[Annual Cost of Wage Increase included in Rate Adjustment]]=0,0,IF('Facility Info Input'!$F$11&lt;=0,0,P263*'Facility Info Input'!$F$11)),0)</f>
        <v>0</v>
      </c>
      <c r="S263" s="32">
        <f>IFERROR(IF(StaffPayroll[[#This Row],[Annual Cost of Wage Increase included in Rate Adjustment]]=0,0,IF('Facility Info Input'!$F$12&lt;=0,0,P263*'Facility Info Input'!$F$12)),0)</f>
        <v>0</v>
      </c>
      <c r="T263" s="32">
        <f t="shared" si="8"/>
        <v>0</v>
      </c>
      <c r="U263" s="33">
        <f t="shared" si="9"/>
        <v>0</v>
      </c>
    </row>
    <row r="264" spans="1:21">
      <c r="A264" s="76"/>
      <c r="B264" s="77"/>
      <c r="C264" s="81"/>
      <c r="D264" s="82"/>
      <c r="E264" s="82"/>
      <c r="F264" s="83"/>
      <c r="G264" s="84"/>
      <c r="H264" s="85"/>
      <c r="I264" s="71" t="e">
        <f>#REF!&amp;" "&amp;StaffPayroll[[#This Row],[Employee ID Number / Code]]</f>
        <v>#REF!</v>
      </c>
      <c r="J264" s="71" t="str">
        <f>_xlfn.IFNA(VLOOKUP(StaffPayroll[[#This Row],[Position / Title]],Lists!A:C,3,FALSE),"")</f>
        <v/>
      </c>
      <c r="K264" s="71">
        <f>StaffPayroll[[#This Row],[Payroll Period Ends Date (Minimum two months)]]-StaffPayroll[[#This Row],[Payroll Period Begins Date        (Must start after 6/1/2025)]]+1</f>
        <v>1</v>
      </c>
      <c r="L264" s="38">
        <f>IFERROR(IF(VLOOKUP(J264,'Facility Info Input'!$B$25:$D$34,3,FALSE)="",1,VLOOKUP(J264,'Facility Info Input'!$B$25:$D$34,3,FALSE)),0)</f>
        <v>0</v>
      </c>
      <c r="M264" s="22" t="str">
        <f>IF(StaffPayroll[[#This Row],[Employee ID Number / Code]]="","",IF(StaffPayroll[[#This Row],[Position / Title]]="","",VLOOKUP(StaffPayroll[[#This Row],[Position / Title]],Lists!A:C,2,FALSE)))</f>
        <v/>
      </c>
      <c r="N264" s="22">
        <f>IF(C264="",0,StaffPayroll[[#This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4" s="31">
        <f>IF(StaffPayroll[[#This Row],[Hourly WSB  Wage Minimum]]="",0,StaffPayroll[[#This Row],[Annual NF Wage Costs after WSB Minimum]]-StaffPayroll[[#This Row],[Annual NF Wage Costs before WSB Minimum]])</f>
        <v>0</v>
      </c>
      <c r="Q264" s="31">
        <f>IFERROR(IF(StaffPayroll[[#This Row],[Annual Cost of Wage Increase included in Rate Adjustment]]=0,0,P264*'Facility Info Input'!$F$10),0)</f>
        <v>0</v>
      </c>
      <c r="R264" s="32">
        <f>IFERROR(IF(StaffPayroll[[#This Row],[Annual Cost of Wage Increase included in Rate Adjustment]]=0,0,IF('Facility Info Input'!$F$11&lt;=0,0,P264*'Facility Info Input'!$F$11)),0)</f>
        <v>0</v>
      </c>
      <c r="S264" s="32">
        <f>IFERROR(IF(StaffPayroll[[#This Row],[Annual Cost of Wage Increase included in Rate Adjustment]]=0,0,IF('Facility Info Input'!$F$12&lt;=0,0,P264*'Facility Info Input'!$F$12)),0)</f>
        <v>0</v>
      </c>
      <c r="T264" s="32">
        <f t="shared" si="8"/>
        <v>0</v>
      </c>
      <c r="U264" s="33">
        <f t="shared" si="9"/>
        <v>0</v>
      </c>
    </row>
    <row r="265" spans="1:21">
      <c r="A265" s="76"/>
      <c r="B265" s="77"/>
      <c r="C265" s="81"/>
      <c r="D265" s="82"/>
      <c r="E265" s="82"/>
      <c r="F265" s="83"/>
      <c r="G265" s="84"/>
      <c r="H265" s="85"/>
      <c r="I265" s="71" t="e">
        <f>#REF!&amp;" "&amp;StaffPayroll[[#This Row],[Employee ID Number / Code]]</f>
        <v>#REF!</v>
      </c>
      <c r="J265" s="71" t="str">
        <f>_xlfn.IFNA(VLOOKUP(StaffPayroll[[#This Row],[Position / Title]],Lists!A:C,3,FALSE),"")</f>
        <v/>
      </c>
      <c r="K265" s="71">
        <f>StaffPayroll[[#This Row],[Payroll Period Ends Date (Minimum two months)]]-StaffPayroll[[#This Row],[Payroll Period Begins Date        (Must start after 6/1/2025)]]+1</f>
        <v>1</v>
      </c>
      <c r="L265" s="38">
        <f>IFERROR(IF(VLOOKUP(J265,'Facility Info Input'!$B$25:$D$34,3,FALSE)="",1,VLOOKUP(J265,'Facility Info Input'!$B$25:$D$34,3,FALSE)),0)</f>
        <v>0</v>
      </c>
      <c r="M265" s="22" t="str">
        <f>IF(StaffPayroll[[#This Row],[Employee ID Number / Code]]="","",IF(StaffPayroll[[#This Row],[Position / Title]]="","",VLOOKUP(StaffPayroll[[#This Row],[Position / Title]],Lists!A:C,2,FALSE)))</f>
        <v/>
      </c>
      <c r="N265" s="22">
        <f>IF(C265="",0,StaffPayroll[[#This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5" s="31">
        <f>IF(StaffPayroll[[#This Row],[Hourly WSB  Wage Minimum]]="",0,StaffPayroll[[#This Row],[Annual NF Wage Costs after WSB Minimum]]-StaffPayroll[[#This Row],[Annual NF Wage Costs before WSB Minimum]])</f>
        <v>0</v>
      </c>
      <c r="Q265" s="31">
        <f>IFERROR(IF(StaffPayroll[[#This Row],[Annual Cost of Wage Increase included in Rate Adjustment]]=0,0,P265*'Facility Info Input'!$F$10),0)</f>
        <v>0</v>
      </c>
      <c r="R265" s="32">
        <f>IFERROR(IF(StaffPayroll[[#This Row],[Annual Cost of Wage Increase included in Rate Adjustment]]=0,0,IF('Facility Info Input'!$F$11&lt;=0,0,P265*'Facility Info Input'!$F$11)),0)</f>
        <v>0</v>
      </c>
      <c r="S265" s="32">
        <f>IFERROR(IF(StaffPayroll[[#This Row],[Annual Cost of Wage Increase included in Rate Adjustment]]=0,0,IF('Facility Info Input'!$F$12&lt;=0,0,P265*'Facility Info Input'!$F$12)),0)</f>
        <v>0</v>
      </c>
      <c r="T265" s="32">
        <f t="shared" si="8"/>
        <v>0</v>
      </c>
      <c r="U265" s="33">
        <f t="shared" si="9"/>
        <v>0</v>
      </c>
    </row>
    <row r="266" spans="1:21">
      <c r="A266" s="76"/>
      <c r="B266" s="77"/>
      <c r="C266" s="81"/>
      <c r="D266" s="82"/>
      <c r="E266" s="82"/>
      <c r="F266" s="83"/>
      <c r="G266" s="84"/>
      <c r="H266" s="85"/>
      <c r="I266" s="71" t="e">
        <f>#REF!&amp;" "&amp;StaffPayroll[[#This Row],[Employee ID Number / Code]]</f>
        <v>#REF!</v>
      </c>
      <c r="J266" s="71" t="str">
        <f>_xlfn.IFNA(VLOOKUP(StaffPayroll[[#This Row],[Position / Title]],Lists!A:C,3,FALSE),"")</f>
        <v/>
      </c>
      <c r="K266" s="71">
        <f>StaffPayroll[[#This Row],[Payroll Period Ends Date (Minimum two months)]]-StaffPayroll[[#This Row],[Payroll Period Begins Date        (Must start after 6/1/2025)]]+1</f>
        <v>1</v>
      </c>
      <c r="L266" s="38">
        <f>IFERROR(IF(VLOOKUP(J266,'Facility Info Input'!$B$25:$D$34,3,FALSE)="",1,VLOOKUP(J266,'Facility Info Input'!$B$25:$D$34,3,FALSE)),0)</f>
        <v>0</v>
      </c>
      <c r="M266" s="22" t="str">
        <f>IF(StaffPayroll[[#This Row],[Employee ID Number / Code]]="","",IF(StaffPayroll[[#This Row],[Position / Title]]="","",VLOOKUP(StaffPayroll[[#This Row],[Position / Title]],Lists!A:C,2,FALSE)))</f>
        <v/>
      </c>
      <c r="N266" s="22">
        <f>IF(C266="",0,StaffPayroll[[#This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6" s="31">
        <f>IF(StaffPayroll[[#This Row],[Hourly WSB  Wage Minimum]]="",0,StaffPayroll[[#This Row],[Annual NF Wage Costs after WSB Minimum]]-StaffPayroll[[#This Row],[Annual NF Wage Costs before WSB Minimum]])</f>
        <v>0</v>
      </c>
      <c r="Q266" s="31">
        <f>IFERROR(IF(StaffPayroll[[#This Row],[Annual Cost of Wage Increase included in Rate Adjustment]]=0,0,P266*'Facility Info Input'!$F$10),0)</f>
        <v>0</v>
      </c>
      <c r="R266" s="32">
        <f>IFERROR(IF(StaffPayroll[[#This Row],[Annual Cost of Wage Increase included in Rate Adjustment]]=0,0,IF('Facility Info Input'!$F$11&lt;=0,0,P266*'Facility Info Input'!$F$11)),0)</f>
        <v>0</v>
      </c>
      <c r="S266" s="32">
        <f>IFERROR(IF(StaffPayroll[[#This Row],[Annual Cost of Wage Increase included in Rate Adjustment]]=0,0,IF('Facility Info Input'!$F$12&lt;=0,0,P266*'Facility Info Input'!$F$12)),0)</f>
        <v>0</v>
      </c>
      <c r="T266" s="32">
        <f t="shared" si="8"/>
        <v>0</v>
      </c>
      <c r="U266" s="33">
        <f t="shared" si="9"/>
        <v>0</v>
      </c>
    </row>
    <row r="267" spans="1:21">
      <c r="A267" s="76"/>
      <c r="B267" s="77"/>
      <c r="C267" s="81"/>
      <c r="D267" s="82"/>
      <c r="E267" s="82"/>
      <c r="F267" s="83"/>
      <c r="G267" s="84"/>
      <c r="H267" s="85"/>
      <c r="I267" s="71" t="e">
        <f>#REF!&amp;" "&amp;StaffPayroll[[#This Row],[Employee ID Number / Code]]</f>
        <v>#REF!</v>
      </c>
      <c r="J267" s="71" t="str">
        <f>_xlfn.IFNA(VLOOKUP(StaffPayroll[[#This Row],[Position / Title]],Lists!A:C,3,FALSE),"")</f>
        <v/>
      </c>
      <c r="K267" s="71">
        <f>StaffPayroll[[#This Row],[Payroll Period Ends Date (Minimum two months)]]-StaffPayroll[[#This Row],[Payroll Period Begins Date        (Must start after 6/1/2025)]]+1</f>
        <v>1</v>
      </c>
      <c r="L267" s="38">
        <f>IFERROR(IF(VLOOKUP(J267,'Facility Info Input'!$B$25:$D$34,3,FALSE)="",1,VLOOKUP(J267,'Facility Info Input'!$B$25:$D$34,3,FALSE)),0)</f>
        <v>0</v>
      </c>
      <c r="M267" s="22" t="str">
        <f>IF(StaffPayroll[[#This Row],[Employee ID Number / Code]]="","",IF(StaffPayroll[[#This Row],[Position / Title]]="","",VLOOKUP(StaffPayroll[[#This Row],[Position / Title]],Lists!A:C,2,FALSE)))</f>
        <v/>
      </c>
      <c r="N267" s="22">
        <f>IF(C267="",0,StaffPayroll[[#This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7" s="31">
        <f>IF(StaffPayroll[[#This Row],[Hourly WSB  Wage Minimum]]="",0,StaffPayroll[[#This Row],[Annual NF Wage Costs after WSB Minimum]]-StaffPayroll[[#This Row],[Annual NF Wage Costs before WSB Minimum]])</f>
        <v>0</v>
      </c>
      <c r="Q267" s="31">
        <f>IFERROR(IF(StaffPayroll[[#This Row],[Annual Cost of Wage Increase included in Rate Adjustment]]=0,0,P267*'Facility Info Input'!$F$10),0)</f>
        <v>0</v>
      </c>
      <c r="R267" s="32">
        <f>IFERROR(IF(StaffPayroll[[#This Row],[Annual Cost of Wage Increase included in Rate Adjustment]]=0,0,IF('Facility Info Input'!$F$11&lt;=0,0,P267*'Facility Info Input'!$F$11)),0)</f>
        <v>0</v>
      </c>
      <c r="S267" s="32">
        <f>IFERROR(IF(StaffPayroll[[#This Row],[Annual Cost of Wage Increase included in Rate Adjustment]]=0,0,IF('Facility Info Input'!$F$12&lt;=0,0,P267*'Facility Info Input'!$F$12)),0)</f>
        <v>0</v>
      </c>
      <c r="T267" s="32">
        <f t="shared" si="8"/>
        <v>0</v>
      </c>
      <c r="U267" s="33">
        <f t="shared" si="9"/>
        <v>0</v>
      </c>
    </row>
    <row r="268" spans="1:21">
      <c r="A268" s="76"/>
      <c r="B268" s="77"/>
      <c r="C268" s="81"/>
      <c r="D268" s="82"/>
      <c r="E268" s="82"/>
      <c r="F268" s="83"/>
      <c r="G268" s="84"/>
      <c r="H268" s="85"/>
      <c r="I268" s="71" t="e">
        <f>#REF!&amp;" "&amp;StaffPayroll[[#This Row],[Employee ID Number / Code]]</f>
        <v>#REF!</v>
      </c>
      <c r="J268" s="71" t="str">
        <f>_xlfn.IFNA(VLOOKUP(StaffPayroll[[#This Row],[Position / Title]],Lists!A:C,3,FALSE),"")</f>
        <v/>
      </c>
      <c r="K268" s="71">
        <f>StaffPayroll[[#This Row],[Payroll Period Ends Date (Minimum two months)]]-StaffPayroll[[#This Row],[Payroll Period Begins Date        (Must start after 6/1/2025)]]+1</f>
        <v>1</v>
      </c>
      <c r="L268" s="38">
        <f>IFERROR(IF(VLOOKUP(J268,'Facility Info Input'!$B$25:$D$34,3,FALSE)="",1,VLOOKUP(J268,'Facility Info Input'!$B$25:$D$34,3,FALSE)),0)</f>
        <v>0</v>
      </c>
      <c r="M268" s="22" t="str">
        <f>IF(StaffPayroll[[#This Row],[Employee ID Number / Code]]="","",IF(StaffPayroll[[#This Row],[Position / Title]]="","",VLOOKUP(StaffPayroll[[#This Row],[Position / Title]],Lists!A:C,2,FALSE)))</f>
        <v/>
      </c>
      <c r="N268" s="22">
        <f>IF(C268="",0,StaffPayroll[[#This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8" s="31">
        <f>IF(StaffPayroll[[#This Row],[Hourly WSB  Wage Minimum]]="",0,StaffPayroll[[#This Row],[Annual NF Wage Costs after WSB Minimum]]-StaffPayroll[[#This Row],[Annual NF Wage Costs before WSB Minimum]])</f>
        <v>0</v>
      </c>
      <c r="Q268" s="31">
        <f>IFERROR(IF(StaffPayroll[[#This Row],[Annual Cost of Wage Increase included in Rate Adjustment]]=0,0,P268*'Facility Info Input'!$F$10),0)</f>
        <v>0</v>
      </c>
      <c r="R268" s="32">
        <f>IFERROR(IF(StaffPayroll[[#This Row],[Annual Cost of Wage Increase included in Rate Adjustment]]=0,0,IF('Facility Info Input'!$F$11&lt;=0,0,P268*'Facility Info Input'!$F$11)),0)</f>
        <v>0</v>
      </c>
      <c r="S268" s="32">
        <f>IFERROR(IF(StaffPayroll[[#This Row],[Annual Cost of Wage Increase included in Rate Adjustment]]=0,0,IF('Facility Info Input'!$F$12&lt;=0,0,P268*'Facility Info Input'!$F$12)),0)</f>
        <v>0</v>
      </c>
      <c r="T268" s="32">
        <f t="shared" si="8"/>
        <v>0</v>
      </c>
      <c r="U268" s="33">
        <f t="shared" si="9"/>
        <v>0</v>
      </c>
    </row>
    <row r="269" spans="1:21">
      <c r="A269" s="76"/>
      <c r="B269" s="77"/>
      <c r="C269" s="81"/>
      <c r="D269" s="82"/>
      <c r="E269" s="82"/>
      <c r="F269" s="83"/>
      <c r="G269" s="84"/>
      <c r="H269" s="85"/>
      <c r="I269" s="71" t="e">
        <f>#REF!&amp;" "&amp;StaffPayroll[[#This Row],[Employee ID Number / Code]]</f>
        <v>#REF!</v>
      </c>
      <c r="J269" s="71" t="str">
        <f>_xlfn.IFNA(VLOOKUP(StaffPayroll[[#This Row],[Position / Title]],Lists!A:C,3,FALSE),"")</f>
        <v/>
      </c>
      <c r="K269" s="71">
        <f>StaffPayroll[[#This Row],[Payroll Period Ends Date (Minimum two months)]]-StaffPayroll[[#This Row],[Payroll Period Begins Date        (Must start after 6/1/2025)]]+1</f>
        <v>1</v>
      </c>
      <c r="L269" s="38">
        <f>IFERROR(IF(VLOOKUP(J269,'Facility Info Input'!$B$25:$D$34,3,FALSE)="",1,VLOOKUP(J269,'Facility Info Input'!$B$25:$D$34,3,FALSE)),0)</f>
        <v>0</v>
      </c>
      <c r="M269" s="22" t="str">
        <f>IF(StaffPayroll[[#This Row],[Employee ID Number / Code]]="","",IF(StaffPayroll[[#This Row],[Position / Title]]="","",VLOOKUP(StaffPayroll[[#This Row],[Position / Title]],Lists!A:C,2,FALSE)))</f>
        <v/>
      </c>
      <c r="N269" s="22">
        <f>IF(C269="",0,StaffPayroll[[#This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6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69" s="31">
        <f>IF(StaffPayroll[[#This Row],[Hourly WSB  Wage Minimum]]="",0,StaffPayroll[[#This Row],[Annual NF Wage Costs after WSB Minimum]]-StaffPayroll[[#This Row],[Annual NF Wage Costs before WSB Minimum]])</f>
        <v>0</v>
      </c>
      <c r="Q269" s="31">
        <f>IFERROR(IF(StaffPayroll[[#This Row],[Annual Cost of Wage Increase included in Rate Adjustment]]=0,0,P269*'Facility Info Input'!$F$10),0)</f>
        <v>0</v>
      </c>
      <c r="R269" s="32">
        <f>IFERROR(IF(StaffPayroll[[#This Row],[Annual Cost of Wage Increase included in Rate Adjustment]]=0,0,IF('Facility Info Input'!$F$11&lt;=0,0,P269*'Facility Info Input'!$F$11)),0)</f>
        <v>0</v>
      </c>
      <c r="S269" s="32">
        <f>IFERROR(IF(StaffPayroll[[#This Row],[Annual Cost of Wage Increase included in Rate Adjustment]]=0,0,IF('Facility Info Input'!$F$12&lt;=0,0,P269*'Facility Info Input'!$F$12)),0)</f>
        <v>0</v>
      </c>
      <c r="T269" s="32">
        <f t="shared" si="8"/>
        <v>0</v>
      </c>
      <c r="U269" s="33">
        <f t="shared" si="9"/>
        <v>0</v>
      </c>
    </row>
    <row r="270" spans="1:21">
      <c r="A270" s="76"/>
      <c r="B270" s="77"/>
      <c r="C270" s="81"/>
      <c r="D270" s="82"/>
      <c r="E270" s="82"/>
      <c r="F270" s="83"/>
      <c r="G270" s="84"/>
      <c r="H270" s="85"/>
      <c r="I270" s="71" t="e">
        <f>#REF!&amp;" "&amp;StaffPayroll[[#This Row],[Employee ID Number / Code]]</f>
        <v>#REF!</v>
      </c>
      <c r="J270" s="71" t="str">
        <f>_xlfn.IFNA(VLOOKUP(StaffPayroll[[#This Row],[Position / Title]],Lists!A:C,3,FALSE),"")</f>
        <v/>
      </c>
      <c r="K270" s="71">
        <f>StaffPayroll[[#This Row],[Payroll Period Ends Date (Minimum two months)]]-StaffPayroll[[#This Row],[Payroll Period Begins Date        (Must start after 6/1/2025)]]+1</f>
        <v>1</v>
      </c>
      <c r="L270" s="38">
        <f>IFERROR(IF(VLOOKUP(J270,'Facility Info Input'!$B$25:$D$34,3,FALSE)="",1,VLOOKUP(J270,'Facility Info Input'!$B$25:$D$34,3,FALSE)),0)</f>
        <v>0</v>
      </c>
      <c r="M270" s="22" t="str">
        <f>IF(StaffPayroll[[#This Row],[Employee ID Number / Code]]="","",IF(StaffPayroll[[#This Row],[Position / Title]]="","",VLOOKUP(StaffPayroll[[#This Row],[Position / Title]],Lists!A:C,2,FALSE)))</f>
        <v/>
      </c>
      <c r="N270" s="22">
        <f>IF(C270="",0,StaffPayroll[[#This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0" s="31">
        <f>IF(StaffPayroll[[#This Row],[Hourly WSB  Wage Minimum]]="",0,StaffPayroll[[#This Row],[Annual NF Wage Costs after WSB Minimum]]-StaffPayroll[[#This Row],[Annual NF Wage Costs before WSB Minimum]])</f>
        <v>0</v>
      </c>
      <c r="Q270" s="31">
        <f>IFERROR(IF(StaffPayroll[[#This Row],[Annual Cost of Wage Increase included in Rate Adjustment]]=0,0,P270*'Facility Info Input'!$F$10),0)</f>
        <v>0</v>
      </c>
      <c r="R270" s="32">
        <f>IFERROR(IF(StaffPayroll[[#This Row],[Annual Cost of Wage Increase included in Rate Adjustment]]=0,0,IF('Facility Info Input'!$F$11&lt;=0,0,P270*'Facility Info Input'!$F$11)),0)</f>
        <v>0</v>
      </c>
      <c r="S270" s="32">
        <f>IFERROR(IF(StaffPayroll[[#This Row],[Annual Cost of Wage Increase included in Rate Adjustment]]=0,0,IF('Facility Info Input'!$F$12&lt;=0,0,P270*'Facility Info Input'!$F$12)),0)</f>
        <v>0</v>
      </c>
      <c r="T270" s="32">
        <f t="shared" si="8"/>
        <v>0</v>
      </c>
      <c r="U270" s="33">
        <f t="shared" si="9"/>
        <v>0</v>
      </c>
    </row>
    <row r="271" spans="1:21">
      <c r="A271" s="76"/>
      <c r="B271" s="77"/>
      <c r="C271" s="81"/>
      <c r="D271" s="82"/>
      <c r="E271" s="82"/>
      <c r="F271" s="83"/>
      <c r="G271" s="84"/>
      <c r="H271" s="85"/>
      <c r="I271" s="71" t="e">
        <f>#REF!&amp;" "&amp;StaffPayroll[[#This Row],[Employee ID Number / Code]]</f>
        <v>#REF!</v>
      </c>
      <c r="J271" s="71" t="str">
        <f>_xlfn.IFNA(VLOOKUP(StaffPayroll[[#This Row],[Position / Title]],Lists!A:C,3,FALSE),"")</f>
        <v/>
      </c>
      <c r="K271" s="71">
        <f>StaffPayroll[[#This Row],[Payroll Period Ends Date (Minimum two months)]]-StaffPayroll[[#This Row],[Payroll Period Begins Date        (Must start after 6/1/2025)]]+1</f>
        <v>1</v>
      </c>
      <c r="L271" s="38">
        <f>IFERROR(IF(VLOOKUP(J271,'Facility Info Input'!$B$25:$D$34,3,FALSE)="",1,VLOOKUP(J271,'Facility Info Input'!$B$25:$D$34,3,FALSE)),0)</f>
        <v>0</v>
      </c>
      <c r="M271" s="22" t="str">
        <f>IF(StaffPayroll[[#This Row],[Employee ID Number / Code]]="","",IF(StaffPayroll[[#This Row],[Position / Title]]="","",VLOOKUP(StaffPayroll[[#This Row],[Position / Title]],Lists!A:C,2,FALSE)))</f>
        <v/>
      </c>
      <c r="N271" s="22">
        <f>IF(C271="",0,StaffPayroll[[#This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1" s="31">
        <f>IF(StaffPayroll[[#This Row],[Hourly WSB  Wage Minimum]]="",0,StaffPayroll[[#This Row],[Annual NF Wage Costs after WSB Minimum]]-StaffPayroll[[#This Row],[Annual NF Wage Costs before WSB Minimum]])</f>
        <v>0</v>
      </c>
      <c r="Q271" s="31">
        <f>IFERROR(IF(StaffPayroll[[#This Row],[Annual Cost of Wage Increase included in Rate Adjustment]]=0,0,P271*'Facility Info Input'!$F$10),0)</f>
        <v>0</v>
      </c>
      <c r="R271" s="32">
        <f>IFERROR(IF(StaffPayroll[[#This Row],[Annual Cost of Wage Increase included in Rate Adjustment]]=0,0,IF('Facility Info Input'!$F$11&lt;=0,0,P271*'Facility Info Input'!$F$11)),0)</f>
        <v>0</v>
      </c>
      <c r="S271" s="32">
        <f>IFERROR(IF(StaffPayroll[[#This Row],[Annual Cost of Wage Increase included in Rate Adjustment]]=0,0,IF('Facility Info Input'!$F$12&lt;=0,0,P271*'Facility Info Input'!$F$12)),0)</f>
        <v>0</v>
      </c>
      <c r="T271" s="32">
        <f t="shared" si="8"/>
        <v>0</v>
      </c>
      <c r="U271" s="33">
        <f t="shared" si="9"/>
        <v>0</v>
      </c>
    </row>
    <row r="272" spans="1:21">
      <c r="A272" s="76"/>
      <c r="B272" s="77"/>
      <c r="C272" s="81"/>
      <c r="D272" s="82"/>
      <c r="E272" s="82"/>
      <c r="F272" s="83"/>
      <c r="G272" s="84"/>
      <c r="H272" s="85"/>
      <c r="I272" s="71" t="e">
        <f>#REF!&amp;" "&amp;StaffPayroll[[#This Row],[Employee ID Number / Code]]</f>
        <v>#REF!</v>
      </c>
      <c r="J272" s="71" t="str">
        <f>_xlfn.IFNA(VLOOKUP(StaffPayroll[[#This Row],[Position / Title]],Lists!A:C,3,FALSE),"")</f>
        <v/>
      </c>
      <c r="K272" s="71">
        <f>StaffPayroll[[#This Row],[Payroll Period Ends Date (Minimum two months)]]-StaffPayroll[[#This Row],[Payroll Period Begins Date        (Must start after 6/1/2025)]]+1</f>
        <v>1</v>
      </c>
      <c r="L272" s="38">
        <f>IFERROR(IF(VLOOKUP(J272,'Facility Info Input'!$B$25:$D$34,3,FALSE)="",1,VLOOKUP(J272,'Facility Info Input'!$B$25:$D$34,3,FALSE)),0)</f>
        <v>0</v>
      </c>
      <c r="M272" s="22" t="str">
        <f>IF(StaffPayroll[[#This Row],[Employee ID Number / Code]]="","",IF(StaffPayroll[[#This Row],[Position / Title]]="","",VLOOKUP(StaffPayroll[[#This Row],[Position / Title]],Lists!A:C,2,FALSE)))</f>
        <v/>
      </c>
      <c r="N272" s="22">
        <f>IF(C272="",0,StaffPayroll[[#This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2" s="31">
        <f>IF(StaffPayroll[[#This Row],[Hourly WSB  Wage Minimum]]="",0,StaffPayroll[[#This Row],[Annual NF Wage Costs after WSB Minimum]]-StaffPayroll[[#This Row],[Annual NF Wage Costs before WSB Minimum]])</f>
        <v>0</v>
      </c>
      <c r="Q272" s="31">
        <f>IFERROR(IF(StaffPayroll[[#This Row],[Annual Cost of Wage Increase included in Rate Adjustment]]=0,0,P272*'Facility Info Input'!$F$10),0)</f>
        <v>0</v>
      </c>
      <c r="R272" s="32">
        <f>IFERROR(IF(StaffPayroll[[#This Row],[Annual Cost of Wage Increase included in Rate Adjustment]]=0,0,IF('Facility Info Input'!$F$11&lt;=0,0,P272*'Facility Info Input'!$F$11)),0)</f>
        <v>0</v>
      </c>
      <c r="S272" s="32">
        <f>IFERROR(IF(StaffPayroll[[#This Row],[Annual Cost of Wage Increase included in Rate Adjustment]]=0,0,IF('Facility Info Input'!$F$12&lt;=0,0,P272*'Facility Info Input'!$F$12)),0)</f>
        <v>0</v>
      </c>
      <c r="T272" s="32">
        <f t="shared" si="8"/>
        <v>0</v>
      </c>
      <c r="U272" s="33">
        <f t="shared" si="9"/>
        <v>0</v>
      </c>
    </row>
    <row r="273" spans="1:21">
      <c r="A273" s="76"/>
      <c r="B273" s="77"/>
      <c r="C273" s="81"/>
      <c r="D273" s="82"/>
      <c r="E273" s="82"/>
      <c r="F273" s="83"/>
      <c r="G273" s="84"/>
      <c r="H273" s="85"/>
      <c r="I273" s="71" t="e">
        <f>#REF!&amp;" "&amp;StaffPayroll[[#This Row],[Employee ID Number / Code]]</f>
        <v>#REF!</v>
      </c>
      <c r="J273" s="71" t="str">
        <f>_xlfn.IFNA(VLOOKUP(StaffPayroll[[#This Row],[Position / Title]],Lists!A:C,3,FALSE),"")</f>
        <v/>
      </c>
      <c r="K273" s="71">
        <f>StaffPayroll[[#This Row],[Payroll Period Ends Date (Minimum two months)]]-StaffPayroll[[#This Row],[Payroll Period Begins Date        (Must start after 6/1/2025)]]+1</f>
        <v>1</v>
      </c>
      <c r="L273" s="38">
        <f>IFERROR(IF(VLOOKUP(J273,'Facility Info Input'!$B$25:$D$34,3,FALSE)="",1,VLOOKUP(J273,'Facility Info Input'!$B$25:$D$34,3,FALSE)),0)</f>
        <v>0</v>
      </c>
      <c r="M273" s="22" t="str">
        <f>IF(StaffPayroll[[#This Row],[Employee ID Number / Code]]="","",IF(StaffPayroll[[#This Row],[Position / Title]]="","",VLOOKUP(StaffPayroll[[#This Row],[Position / Title]],Lists!A:C,2,FALSE)))</f>
        <v/>
      </c>
      <c r="N273" s="22">
        <f>IF(C273="",0,StaffPayroll[[#This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3" s="31">
        <f>IF(StaffPayroll[[#This Row],[Hourly WSB  Wage Minimum]]="",0,StaffPayroll[[#This Row],[Annual NF Wage Costs after WSB Minimum]]-StaffPayroll[[#This Row],[Annual NF Wage Costs before WSB Minimum]])</f>
        <v>0</v>
      </c>
      <c r="Q273" s="31">
        <f>IFERROR(IF(StaffPayroll[[#This Row],[Annual Cost of Wage Increase included in Rate Adjustment]]=0,0,P273*'Facility Info Input'!$F$10),0)</f>
        <v>0</v>
      </c>
      <c r="R273" s="32">
        <f>IFERROR(IF(StaffPayroll[[#This Row],[Annual Cost of Wage Increase included in Rate Adjustment]]=0,0,IF('Facility Info Input'!$F$11&lt;=0,0,P273*'Facility Info Input'!$F$11)),0)</f>
        <v>0</v>
      </c>
      <c r="S273" s="32">
        <f>IFERROR(IF(StaffPayroll[[#This Row],[Annual Cost of Wage Increase included in Rate Adjustment]]=0,0,IF('Facility Info Input'!$F$12&lt;=0,0,P273*'Facility Info Input'!$F$12)),0)</f>
        <v>0</v>
      </c>
      <c r="T273" s="32">
        <f t="shared" si="8"/>
        <v>0</v>
      </c>
      <c r="U273" s="33">
        <f t="shared" si="9"/>
        <v>0</v>
      </c>
    </row>
    <row r="274" spans="1:21">
      <c r="A274" s="76"/>
      <c r="B274" s="77"/>
      <c r="C274" s="81"/>
      <c r="D274" s="82"/>
      <c r="E274" s="82"/>
      <c r="F274" s="83"/>
      <c r="G274" s="84"/>
      <c r="H274" s="85"/>
      <c r="I274" s="71" t="e">
        <f>#REF!&amp;" "&amp;StaffPayroll[[#This Row],[Employee ID Number / Code]]</f>
        <v>#REF!</v>
      </c>
      <c r="J274" s="71" t="str">
        <f>_xlfn.IFNA(VLOOKUP(StaffPayroll[[#This Row],[Position / Title]],Lists!A:C,3,FALSE),"")</f>
        <v/>
      </c>
      <c r="K274" s="71">
        <f>StaffPayroll[[#This Row],[Payroll Period Ends Date (Minimum two months)]]-StaffPayroll[[#This Row],[Payroll Period Begins Date        (Must start after 6/1/2025)]]+1</f>
        <v>1</v>
      </c>
      <c r="L274" s="38">
        <f>IFERROR(IF(VLOOKUP(J274,'Facility Info Input'!$B$25:$D$34,3,FALSE)="",1,VLOOKUP(J274,'Facility Info Input'!$B$25:$D$34,3,FALSE)),0)</f>
        <v>0</v>
      </c>
      <c r="M274" s="22" t="str">
        <f>IF(StaffPayroll[[#This Row],[Employee ID Number / Code]]="","",IF(StaffPayroll[[#This Row],[Position / Title]]="","",VLOOKUP(StaffPayroll[[#This Row],[Position / Title]],Lists!A:C,2,FALSE)))</f>
        <v/>
      </c>
      <c r="N274" s="22">
        <f>IF(C274="",0,StaffPayroll[[#This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4" s="31">
        <f>IF(StaffPayroll[[#This Row],[Hourly WSB  Wage Minimum]]="",0,StaffPayroll[[#This Row],[Annual NF Wage Costs after WSB Minimum]]-StaffPayroll[[#This Row],[Annual NF Wage Costs before WSB Minimum]])</f>
        <v>0</v>
      </c>
      <c r="Q274" s="31">
        <f>IFERROR(IF(StaffPayroll[[#This Row],[Annual Cost of Wage Increase included in Rate Adjustment]]=0,0,P274*'Facility Info Input'!$F$10),0)</f>
        <v>0</v>
      </c>
      <c r="R274" s="32">
        <f>IFERROR(IF(StaffPayroll[[#This Row],[Annual Cost of Wage Increase included in Rate Adjustment]]=0,0,IF('Facility Info Input'!$F$11&lt;=0,0,P274*'Facility Info Input'!$F$11)),0)</f>
        <v>0</v>
      </c>
      <c r="S274" s="32">
        <f>IFERROR(IF(StaffPayroll[[#This Row],[Annual Cost of Wage Increase included in Rate Adjustment]]=0,0,IF('Facility Info Input'!$F$12&lt;=0,0,P274*'Facility Info Input'!$F$12)),0)</f>
        <v>0</v>
      </c>
      <c r="T274" s="32">
        <f t="shared" si="8"/>
        <v>0</v>
      </c>
      <c r="U274" s="33">
        <f t="shared" si="9"/>
        <v>0</v>
      </c>
    </row>
    <row r="275" spans="1:21">
      <c r="A275" s="76"/>
      <c r="B275" s="77"/>
      <c r="C275" s="81"/>
      <c r="D275" s="82"/>
      <c r="E275" s="82"/>
      <c r="F275" s="83"/>
      <c r="G275" s="84"/>
      <c r="H275" s="85"/>
      <c r="I275" s="71" t="e">
        <f>#REF!&amp;" "&amp;StaffPayroll[[#This Row],[Employee ID Number / Code]]</f>
        <v>#REF!</v>
      </c>
      <c r="J275" s="71" t="str">
        <f>_xlfn.IFNA(VLOOKUP(StaffPayroll[[#This Row],[Position / Title]],Lists!A:C,3,FALSE),"")</f>
        <v/>
      </c>
      <c r="K275" s="71">
        <f>StaffPayroll[[#This Row],[Payroll Period Ends Date (Minimum two months)]]-StaffPayroll[[#This Row],[Payroll Period Begins Date        (Must start after 6/1/2025)]]+1</f>
        <v>1</v>
      </c>
      <c r="L275" s="38">
        <f>IFERROR(IF(VLOOKUP(J275,'Facility Info Input'!$B$25:$D$34,3,FALSE)="",1,VLOOKUP(J275,'Facility Info Input'!$B$25:$D$34,3,FALSE)),0)</f>
        <v>0</v>
      </c>
      <c r="M275" s="22" t="str">
        <f>IF(StaffPayroll[[#This Row],[Employee ID Number / Code]]="","",IF(StaffPayroll[[#This Row],[Position / Title]]="","",VLOOKUP(StaffPayroll[[#This Row],[Position / Title]],Lists!A:C,2,FALSE)))</f>
        <v/>
      </c>
      <c r="N275" s="22">
        <f>IF(C275="",0,StaffPayroll[[#This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5" s="31">
        <f>IF(StaffPayroll[[#This Row],[Hourly WSB  Wage Minimum]]="",0,StaffPayroll[[#This Row],[Annual NF Wage Costs after WSB Minimum]]-StaffPayroll[[#This Row],[Annual NF Wage Costs before WSB Minimum]])</f>
        <v>0</v>
      </c>
      <c r="Q275" s="31">
        <f>IFERROR(IF(StaffPayroll[[#This Row],[Annual Cost of Wage Increase included in Rate Adjustment]]=0,0,P275*'Facility Info Input'!$F$10),0)</f>
        <v>0</v>
      </c>
      <c r="R275" s="32">
        <f>IFERROR(IF(StaffPayroll[[#This Row],[Annual Cost of Wage Increase included in Rate Adjustment]]=0,0,IF('Facility Info Input'!$F$11&lt;=0,0,P275*'Facility Info Input'!$F$11)),0)</f>
        <v>0</v>
      </c>
      <c r="S275" s="32">
        <f>IFERROR(IF(StaffPayroll[[#This Row],[Annual Cost of Wage Increase included in Rate Adjustment]]=0,0,IF('Facility Info Input'!$F$12&lt;=0,0,P275*'Facility Info Input'!$F$12)),0)</f>
        <v>0</v>
      </c>
      <c r="T275" s="32">
        <f t="shared" si="8"/>
        <v>0</v>
      </c>
      <c r="U275" s="33">
        <f t="shared" si="9"/>
        <v>0</v>
      </c>
    </row>
    <row r="276" spans="1:21">
      <c r="A276" s="76"/>
      <c r="B276" s="77"/>
      <c r="C276" s="81"/>
      <c r="D276" s="82"/>
      <c r="E276" s="82"/>
      <c r="F276" s="83"/>
      <c r="G276" s="84"/>
      <c r="H276" s="85"/>
      <c r="I276" s="71" t="e">
        <f>#REF!&amp;" "&amp;StaffPayroll[[#This Row],[Employee ID Number / Code]]</f>
        <v>#REF!</v>
      </c>
      <c r="J276" s="71" t="str">
        <f>_xlfn.IFNA(VLOOKUP(StaffPayroll[[#This Row],[Position / Title]],Lists!A:C,3,FALSE),"")</f>
        <v/>
      </c>
      <c r="K276" s="71">
        <f>StaffPayroll[[#This Row],[Payroll Period Ends Date (Minimum two months)]]-StaffPayroll[[#This Row],[Payroll Period Begins Date        (Must start after 6/1/2025)]]+1</f>
        <v>1</v>
      </c>
      <c r="L276" s="38">
        <f>IFERROR(IF(VLOOKUP(J276,'Facility Info Input'!$B$25:$D$34,3,FALSE)="",1,VLOOKUP(J276,'Facility Info Input'!$B$25:$D$34,3,FALSE)),0)</f>
        <v>0</v>
      </c>
      <c r="M276" s="22" t="str">
        <f>IF(StaffPayroll[[#This Row],[Employee ID Number / Code]]="","",IF(StaffPayroll[[#This Row],[Position / Title]]="","",VLOOKUP(StaffPayroll[[#This Row],[Position / Title]],Lists!A:C,2,FALSE)))</f>
        <v/>
      </c>
      <c r="N276" s="22">
        <f>IF(C276="",0,StaffPayroll[[#This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6" s="31">
        <f>IF(StaffPayroll[[#This Row],[Hourly WSB  Wage Minimum]]="",0,StaffPayroll[[#This Row],[Annual NF Wage Costs after WSB Minimum]]-StaffPayroll[[#This Row],[Annual NF Wage Costs before WSB Minimum]])</f>
        <v>0</v>
      </c>
      <c r="Q276" s="31">
        <f>IFERROR(IF(StaffPayroll[[#This Row],[Annual Cost of Wage Increase included in Rate Adjustment]]=0,0,P276*'Facility Info Input'!$F$10),0)</f>
        <v>0</v>
      </c>
      <c r="R276" s="32">
        <f>IFERROR(IF(StaffPayroll[[#This Row],[Annual Cost of Wage Increase included in Rate Adjustment]]=0,0,IF('Facility Info Input'!$F$11&lt;=0,0,P276*'Facility Info Input'!$F$11)),0)</f>
        <v>0</v>
      </c>
      <c r="S276" s="32">
        <f>IFERROR(IF(StaffPayroll[[#This Row],[Annual Cost of Wage Increase included in Rate Adjustment]]=0,0,IF('Facility Info Input'!$F$12&lt;=0,0,P276*'Facility Info Input'!$F$12)),0)</f>
        <v>0</v>
      </c>
      <c r="T276" s="32">
        <f t="shared" si="8"/>
        <v>0</v>
      </c>
      <c r="U276" s="33">
        <f t="shared" si="9"/>
        <v>0</v>
      </c>
    </row>
    <row r="277" spans="1:21">
      <c r="A277" s="76"/>
      <c r="B277" s="77"/>
      <c r="C277" s="81"/>
      <c r="D277" s="82"/>
      <c r="E277" s="82"/>
      <c r="F277" s="83"/>
      <c r="G277" s="84"/>
      <c r="H277" s="85"/>
      <c r="I277" s="71" t="e">
        <f>#REF!&amp;" "&amp;StaffPayroll[[#This Row],[Employee ID Number / Code]]</f>
        <v>#REF!</v>
      </c>
      <c r="J277" s="71" t="str">
        <f>_xlfn.IFNA(VLOOKUP(StaffPayroll[[#This Row],[Position / Title]],Lists!A:C,3,FALSE),"")</f>
        <v/>
      </c>
      <c r="K277" s="71">
        <f>StaffPayroll[[#This Row],[Payroll Period Ends Date (Minimum two months)]]-StaffPayroll[[#This Row],[Payroll Period Begins Date        (Must start after 6/1/2025)]]+1</f>
        <v>1</v>
      </c>
      <c r="L277" s="38">
        <f>IFERROR(IF(VLOOKUP(J277,'Facility Info Input'!$B$25:$D$34,3,FALSE)="",1,VLOOKUP(J277,'Facility Info Input'!$B$25:$D$34,3,FALSE)),0)</f>
        <v>0</v>
      </c>
      <c r="M277" s="22" t="str">
        <f>IF(StaffPayroll[[#This Row],[Employee ID Number / Code]]="","",IF(StaffPayroll[[#This Row],[Position / Title]]="","",VLOOKUP(StaffPayroll[[#This Row],[Position / Title]],Lists!A:C,2,FALSE)))</f>
        <v/>
      </c>
      <c r="N277" s="22">
        <f>IF(C277="",0,StaffPayroll[[#This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7" s="31">
        <f>IF(StaffPayroll[[#This Row],[Hourly WSB  Wage Minimum]]="",0,StaffPayroll[[#This Row],[Annual NF Wage Costs after WSB Minimum]]-StaffPayroll[[#This Row],[Annual NF Wage Costs before WSB Minimum]])</f>
        <v>0</v>
      </c>
      <c r="Q277" s="31">
        <f>IFERROR(IF(StaffPayroll[[#This Row],[Annual Cost of Wage Increase included in Rate Adjustment]]=0,0,P277*'Facility Info Input'!$F$10),0)</f>
        <v>0</v>
      </c>
      <c r="R277" s="32">
        <f>IFERROR(IF(StaffPayroll[[#This Row],[Annual Cost of Wage Increase included in Rate Adjustment]]=0,0,IF('Facility Info Input'!$F$11&lt;=0,0,P277*'Facility Info Input'!$F$11)),0)</f>
        <v>0</v>
      </c>
      <c r="S277" s="32">
        <f>IFERROR(IF(StaffPayroll[[#This Row],[Annual Cost of Wage Increase included in Rate Adjustment]]=0,0,IF('Facility Info Input'!$F$12&lt;=0,0,P277*'Facility Info Input'!$F$12)),0)</f>
        <v>0</v>
      </c>
      <c r="T277" s="32">
        <f t="shared" si="8"/>
        <v>0</v>
      </c>
      <c r="U277" s="33">
        <f t="shared" si="9"/>
        <v>0</v>
      </c>
    </row>
    <row r="278" spans="1:21">
      <c r="A278" s="76"/>
      <c r="B278" s="77"/>
      <c r="C278" s="81"/>
      <c r="D278" s="82"/>
      <c r="E278" s="82"/>
      <c r="F278" s="83"/>
      <c r="G278" s="84"/>
      <c r="H278" s="85"/>
      <c r="I278" s="71" t="e">
        <f>#REF!&amp;" "&amp;StaffPayroll[[#This Row],[Employee ID Number / Code]]</f>
        <v>#REF!</v>
      </c>
      <c r="J278" s="71" t="str">
        <f>_xlfn.IFNA(VLOOKUP(StaffPayroll[[#This Row],[Position / Title]],Lists!A:C,3,FALSE),"")</f>
        <v/>
      </c>
      <c r="K278" s="71">
        <f>StaffPayroll[[#This Row],[Payroll Period Ends Date (Minimum two months)]]-StaffPayroll[[#This Row],[Payroll Period Begins Date        (Must start after 6/1/2025)]]+1</f>
        <v>1</v>
      </c>
      <c r="L278" s="38">
        <f>IFERROR(IF(VLOOKUP(J278,'Facility Info Input'!$B$25:$D$34,3,FALSE)="",1,VLOOKUP(J278,'Facility Info Input'!$B$25:$D$34,3,FALSE)),0)</f>
        <v>0</v>
      </c>
      <c r="M278" s="22" t="str">
        <f>IF(StaffPayroll[[#This Row],[Employee ID Number / Code]]="","",IF(StaffPayroll[[#This Row],[Position / Title]]="","",VLOOKUP(StaffPayroll[[#This Row],[Position / Title]],Lists!A:C,2,FALSE)))</f>
        <v/>
      </c>
      <c r="N278" s="22">
        <f>IF(C278="",0,StaffPayroll[[#This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8" s="31">
        <f>IF(StaffPayroll[[#This Row],[Hourly WSB  Wage Minimum]]="",0,StaffPayroll[[#This Row],[Annual NF Wage Costs after WSB Minimum]]-StaffPayroll[[#This Row],[Annual NF Wage Costs before WSB Minimum]])</f>
        <v>0</v>
      </c>
      <c r="Q278" s="31">
        <f>IFERROR(IF(StaffPayroll[[#This Row],[Annual Cost of Wage Increase included in Rate Adjustment]]=0,0,P278*'Facility Info Input'!$F$10),0)</f>
        <v>0</v>
      </c>
      <c r="R278" s="32">
        <f>IFERROR(IF(StaffPayroll[[#This Row],[Annual Cost of Wage Increase included in Rate Adjustment]]=0,0,IF('Facility Info Input'!$F$11&lt;=0,0,P278*'Facility Info Input'!$F$11)),0)</f>
        <v>0</v>
      </c>
      <c r="S278" s="32">
        <f>IFERROR(IF(StaffPayroll[[#This Row],[Annual Cost of Wage Increase included in Rate Adjustment]]=0,0,IF('Facility Info Input'!$F$12&lt;=0,0,P278*'Facility Info Input'!$F$12)),0)</f>
        <v>0</v>
      </c>
      <c r="T278" s="32">
        <f t="shared" si="8"/>
        <v>0</v>
      </c>
      <c r="U278" s="33">
        <f t="shared" si="9"/>
        <v>0</v>
      </c>
    </row>
    <row r="279" spans="1:21">
      <c r="A279" s="76"/>
      <c r="B279" s="77"/>
      <c r="C279" s="81"/>
      <c r="D279" s="82"/>
      <c r="E279" s="82"/>
      <c r="F279" s="83"/>
      <c r="G279" s="84"/>
      <c r="H279" s="85"/>
      <c r="I279" s="71" t="e">
        <f>#REF!&amp;" "&amp;StaffPayroll[[#This Row],[Employee ID Number / Code]]</f>
        <v>#REF!</v>
      </c>
      <c r="J279" s="71" t="str">
        <f>_xlfn.IFNA(VLOOKUP(StaffPayroll[[#This Row],[Position / Title]],Lists!A:C,3,FALSE),"")</f>
        <v/>
      </c>
      <c r="K279" s="71">
        <f>StaffPayroll[[#This Row],[Payroll Period Ends Date (Minimum two months)]]-StaffPayroll[[#This Row],[Payroll Period Begins Date        (Must start after 6/1/2025)]]+1</f>
        <v>1</v>
      </c>
      <c r="L279" s="38">
        <f>IFERROR(IF(VLOOKUP(J279,'Facility Info Input'!$B$25:$D$34,3,FALSE)="",1,VLOOKUP(J279,'Facility Info Input'!$B$25:$D$34,3,FALSE)),0)</f>
        <v>0</v>
      </c>
      <c r="M279" s="22" t="str">
        <f>IF(StaffPayroll[[#This Row],[Employee ID Number / Code]]="","",IF(StaffPayroll[[#This Row],[Position / Title]]="","",VLOOKUP(StaffPayroll[[#This Row],[Position / Title]],Lists!A:C,2,FALSE)))</f>
        <v/>
      </c>
      <c r="N279" s="22">
        <f>IF(C279="",0,StaffPayroll[[#This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7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79" s="31">
        <f>IF(StaffPayroll[[#This Row],[Hourly WSB  Wage Minimum]]="",0,StaffPayroll[[#This Row],[Annual NF Wage Costs after WSB Minimum]]-StaffPayroll[[#This Row],[Annual NF Wage Costs before WSB Minimum]])</f>
        <v>0</v>
      </c>
      <c r="Q279" s="31">
        <f>IFERROR(IF(StaffPayroll[[#This Row],[Annual Cost of Wage Increase included in Rate Adjustment]]=0,0,P279*'Facility Info Input'!$F$10),0)</f>
        <v>0</v>
      </c>
      <c r="R279" s="32">
        <f>IFERROR(IF(StaffPayroll[[#This Row],[Annual Cost of Wage Increase included in Rate Adjustment]]=0,0,IF('Facility Info Input'!$F$11&lt;=0,0,P279*'Facility Info Input'!$F$11)),0)</f>
        <v>0</v>
      </c>
      <c r="S279" s="32">
        <f>IFERROR(IF(StaffPayroll[[#This Row],[Annual Cost of Wage Increase included in Rate Adjustment]]=0,0,IF('Facility Info Input'!$F$12&lt;=0,0,P279*'Facility Info Input'!$F$12)),0)</f>
        <v>0</v>
      </c>
      <c r="T279" s="32">
        <f t="shared" si="8"/>
        <v>0</v>
      </c>
      <c r="U279" s="33">
        <f t="shared" si="9"/>
        <v>0</v>
      </c>
    </row>
    <row r="280" spans="1:21">
      <c r="A280" s="76"/>
      <c r="B280" s="77"/>
      <c r="C280" s="81"/>
      <c r="D280" s="82"/>
      <c r="E280" s="82"/>
      <c r="F280" s="83"/>
      <c r="G280" s="84"/>
      <c r="H280" s="85"/>
      <c r="I280" s="71" t="e">
        <f>#REF!&amp;" "&amp;StaffPayroll[[#This Row],[Employee ID Number / Code]]</f>
        <v>#REF!</v>
      </c>
      <c r="J280" s="71" t="str">
        <f>_xlfn.IFNA(VLOOKUP(StaffPayroll[[#This Row],[Position / Title]],Lists!A:C,3,FALSE),"")</f>
        <v/>
      </c>
      <c r="K280" s="71">
        <f>StaffPayroll[[#This Row],[Payroll Period Ends Date (Minimum two months)]]-StaffPayroll[[#This Row],[Payroll Period Begins Date        (Must start after 6/1/2025)]]+1</f>
        <v>1</v>
      </c>
      <c r="L280" s="38">
        <f>IFERROR(IF(VLOOKUP(J280,'Facility Info Input'!$B$25:$D$34,3,FALSE)="",1,VLOOKUP(J280,'Facility Info Input'!$B$25:$D$34,3,FALSE)),0)</f>
        <v>0</v>
      </c>
      <c r="M280" s="22" t="str">
        <f>IF(StaffPayroll[[#This Row],[Employee ID Number / Code]]="","",IF(StaffPayroll[[#This Row],[Position / Title]]="","",VLOOKUP(StaffPayroll[[#This Row],[Position / Title]],Lists!A:C,2,FALSE)))</f>
        <v/>
      </c>
      <c r="N280" s="22">
        <f>IF(C280="",0,StaffPayroll[[#This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0" s="31">
        <f>IF(StaffPayroll[[#This Row],[Hourly WSB  Wage Minimum]]="",0,StaffPayroll[[#This Row],[Annual NF Wage Costs after WSB Minimum]]-StaffPayroll[[#This Row],[Annual NF Wage Costs before WSB Minimum]])</f>
        <v>0</v>
      </c>
      <c r="Q280" s="31">
        <f>IFERROR(IF(StaffPayroll[[#This Row],[Annual Cost of Wage Increase included in Rate Adjustment]]=0,0,P280*'Facility Info Input'!$F$10),0)</f>
        <v>0</v>
      </c>
      <c r="R280" s="32">
        <f>IFERROR(IF(StaffPayroll[[#This Row],[Annual Cost of Wage Increase included in Rate Adjustment]]=0,0,IF('Facility Info Input'!$F$11&lt;=0,0,P280*'Facility Info Input'!$F$11)),0)</f>
        <v>0</v>
      </c>
      <c r="S280" s="32">
        <f>IFERROR(IF(StaffPayroll[[#This Row],[Annual Cost of Wage Increase included in Rate Adjustment]]=0,0,IF('Facility Info Input'!$F$12&lt;=0,0,P280*'Facility Info Input'!$F$12)),0)</f>
        <v>0</v>
      </c>
      <c r="T280" s="32">
        <f t="shared" si="8"/>
        <v>0</v>
      </c>
      <c r="U280" s="33">
        <f t="shared" si="9"/>
        <v>0</v>
      </c>
    </row>
    <row r="281" spans="1:21">
      <c r="A281" s="76"/>
      <c r="B281" s="77"/>
      <c r="C281" s="81"/>
      <c r="D281" s="82"/>
      <c r="E281" s="82"/>
      <c r="F281" s="83"/>
      <c r="G281" s="84"/>
      <c r="H281" s="85"/>
      <c r="I281" s="71" t="e">
        <f>#REF!&amp;" "&amp;StaffPayroll[[#This Row],[Employee ID Number / Code]]</f>
        <v>#REF!</v>
      </c>
      <c r="J281" s="71" t="str">
        <f>_xlfn.IFNA(VLOOKUP(StaffPayroll[[#This Row],[Position / Title]],Lists!A:C,3,FALSE),"")</f>
        <v/>
      </c>
      <c r="K281" s="71">
        <f>StaffPayroll[[#This Row],[Payroll Period Ends Date (Minimum two months)]]-StaffPayroll[[#This Row],[Payroll Period Begins Date        (Must start after 6/1/2025)]]+1</f>
        <v>1</v>
      </c>
      <c r="L281" s="38">
        <f>IFERROR(IF(VLOOKUP(J281,'Facility Info Input'!$B$25:$D$34,3,FALSE)="",1,VLOOKUP(J281,'Facility Info Input'!$B$25:$D$34,3,FALSE)),0)</f>
        <v>0</v>
      </c>
      <c r="M281" s="22" t="str">
        <f>IF(StaffPayroll[[#This Row],[Employee ID Number / Code]]="","",IF(StaffPayroll[[#This Row],[Position / Title]]="","",VLOOKUP(StaffPayroll[[#This Row],[Position / Title]],Lists!A:C,2,FALSE)))</f>
        <v/>
      </c>
      <c r="N281" s="22">
        <f>IF(C281="",0,StaffPayroll[[#This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1" s="31">
        <f>IF(StaffPayroll[[#This Row],[Hourly WSB  Wage Minimum]]="",0,StaffPayroll[[#This Row],[Annual NF Wage Costs after WSB Minimum]]-StaffPayroll[[#This Row],[Annual NF Wage Costs before WSB Minimum]])</f>
        <v>0</v>
      </c>
      <c r="Q281" s="31">
        <f>IFERROR(IF(StaffPayroll[[#This Row],[Annual Cost of Wage Increase included in Rate Adjustment]]=0,0,P281*'Facility Info Input'!$F$10),0)</f>
        <v>0</v>
      </c>
      <c r="R281" s="32">
        <f>IFERROR(IF(StaffPayroll[[#This Row],[Annual Cost of Wage Increase included in Rate Adjustment]]=0,0,IF('Facility Info Input'!$F$11&lt;=0,0,P281*'Facility Info Input'!$F$11)),0)</f>
        <v>0</v>
      </c>
      <c r="S281" s="32">
        <f>IFERROR(IF(StaffPayroll[[#This Row],[Annual Cost of Wage Increase included in Rate Adjustment]]=0,0,IF('Facility Info Input'!$F$12&lt;=0,0,P281*'Facility Info Input'!$F$12)),0)</f>
        <v>0</v>
      </c>
      <c r="T281" s="32">
        <f t="shared" si="8"/>
        <v>0</v>
      </c>
      <c r="U281" s="33">
        <f t="shared" si="9"/>
        <v>0</v>
      </c>
    </row>
    <row r="282" spans="1:21">
      <c r="A282" s="76"/>
      <c r="B282" s="77"/>
      <c r="C282" s="81"/>
      <c r="D282" s="82"/>
      <c r="E282" s="82"/>
      <c r="F282" s="83"/>
      <c r="G282" s="84"/>
      <c r="H282" s="85"/>
      <c r="I282" s="71" t="e">
        <f>#REF!&amp;" "&amp;StaffPayroll[[#This Row],[Employee ID Number / Code]]</f>
        <v>#REF!</v>
      </c>
      <c r="J282" s="71" t="str">
        <f>_xlfn.IFNA(VLOOKUP(StaffPayroll[[#This Row],[Position / Title]],Lists!A:C,3,FALSE),"")</f>
        <v/>
      </c>
      <c r="K282" s="71">
        <f>StaffPayroll[[#This Row],[Payroll Period Ends Date (Minimum two months)]]-StaffPayroll[[#This Row],[Payroll Period Begins Date        (Must start after 6/1/2025)]]+1</f>
        <v>1</v>
      </c>
      <c r="L282" s="38">
        <f>IFERROR(IF(VLOOKUP(J282,'Facility Info Input'!$B$25:$D$34,3,FALSE)="",1,VLOOKUP(J282,'Facility Info Input'!$B$25:$D$34,3,FALSE)),0)</f>
        <v>0</v>
      </c>
      <c r="M282" s="22" t="str">
        <f>IF(StaffPayroll[[#This Row],[Employee ID Number / Code]]="","",IF(StaffPayroll[[#This Row],[Position / Title]]="","",VLOOKUP(StaffPayroll[[#This Row],[Position / Title]],Lists!A:C,2,FALSE)))</f>
        <v/>
      </c>
      <c r="N282" s="22">
        <f>IF(C282="",0,StaffPayroll[[#This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2" s="31">
        <f>IF(StaffPayroll[[#This Row],[Hourly WSB  Wage Minimum]]="",0,StaffPayroll[[#This Row],[Annual NF Wage Costs after WSB Minimum]]-StaffPayroll[[#This Row],[Annual NF Wage Costs before WSB Minimum]])</f>
        <v>0</v>
      </c>
      <c r="Q282" s="31">
        <f>IFERROR(IF(StaffPayroll[[#This Row],[Annual Cost of Wage Increase included in Rate Adjustment]]=0,0,P282*'Facility Info Input'!$F$10),0)</f>
        <v>0</v>
      </c>
      <c r="R282" s="32">
        <f>IFERROR(IF(StaffPayroll[[#This Row],[Annual Cost of Wage Increase included in Rate Adjustment]]=0,0,IF('Facility Info Input'!$F$11&lt;=0,0,P282*'Facility Info Input'!$F$11)),0)</f>
        <v>0</v>
      </c>
      <c r="S282" s="32">
        <f>IFERROR(IF(StaffPayroll[[#This Row],[Annual Cost of Wage Increase included in Rate Adjustment]]=0,0,IF('Facility Info Input'!$F$12&lt;=0,0,P282*'Facility Info Input'!$F$12)),0)</f>
        <v>0</v>
      </c>
      <c r="T282" s="32">
        <f t="shared" si="8"/>
        <v>0</v>
      </c>
      <c r="U282" s="33">
        <f t="shared" si="9"/>
        <v>0</v>
      </c>
    </row>
    <row r="283" spans="1:21">
      <c r="A283" s="76"/>
      <c r="B283" s="77"/>
      <c r="C283" s="81"/>
      <c r="D283" s="82"/>
      <c r="E283" s="82"/>
      <c r="F283" s="83"/>
      <c r="G283" s="84"/>
      <c r="H283" s="85"/>
      <c r="I283" s="71" t="e">
        <f>#REF!&amp;" "&amp;StaffPayroll[[#This Row],[Employee ID Number / Code]]</f>
        <v>#REF!</v>
      </c>
      <c r="J283" s="71" t="str">
        <f>_xlfn.IFNA(VLOOKUP(StaffPayroll[[#This Row],[Position / Title]],Lists!A:C,3,FALSE),"")</f>
        <v/>
      </c>
      <c r="K283" s="71">
        <f>StaffPayroll[[#This Row],[Payroll Period Ends Date (Minimum two months)]]-StaffPayroll[[#This Row],[Payroll Period Begins Date        (Must start after 6/1/2025)]]+1</f>
        <v>1</v>
      </c>
      <c r="L283" s="38">
        <f>IFERROR(IF(VLOOKUP(J283,'Facility Info Input'!$B$25:$D$34,3,FALSE)="",1,VLOOKUP(J283,'Facility Info Input'!$B$25:$D$34,3,FALSE)),0)</f>
        <v>0</v>
      </c>
      <c r="M283" s="22" t="str">
        <f>IF(StaffPayroll[[#This Row],[Employee ID Number / Code]]="","",IF(StaffPayroll[[#This Row],[Position / Title]]="","",VLOOKUP(StaffPayroll[[#This Row],[Position / Title]],Lists!A:C,2,FALSE)))</f>
        <v/>
      </c>
      <c r="N283" s="22">
        <f>IF(C283="",0,StaffPayroll[[#This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3" s="31">
        <f>IF(StaffPayroll[[#This Row],[Hourly WSB  Wage Minimum]]="",0,StaffPayroll[[#This Row],[Annual NF Wage Costs after WSB Minimum]]-StaffPayroll[[#This Row],[Annual NF Wage Costs before WSB Minimum]])</f>
        <v>0</v>
      </c>
      <c r="Q283" s="31">
        <f>IFERROR(IF(StaffPayroll[[#This Row],[Annual Cost of Wage Increase included in Rate Adjustment]]=0,0,P283*'Facility Info Input'!$F$10),0)</f>
        <v>0</v>
      </c>
      <c r="R283" s="32">
        <f>IFERROR(IF(StaffPayroll[[#This Row],[Annual Cost of Wage Increase included in Rate Adjustment]]=0,0,IF('Facility Info Input'!$F$11&lt;=0,0,P283*'Facility Info Input'!$F$11)),0)</f>
        <v>0</v>
      </c>
      <c r="S283" s="32">
        <f>IFERROR(IF(StaffPayroll[[#This Row],[Annual Cost of Wage Increase included in Rate Adjustment]]=0,0,IF('Facility Info Input'!$F$12&lt;=0,0,P283*'Facility Info Input'!$F$12)),0)</f>
        <v>0</v>
      </c>
      <c r="T283" s="32">
        <f t="shared" si="8"/>
        <v>0</v>
      </c>
      <c r="U283" s="33">
        <f t="shared" si="9"/>
        <v>0</v>
      </c>
    </row>
    <row r="284" spans="1:21">
      <c r="A284" s="76"/>
      <c r="B284" s="77"/>
      <c r="C284" s="81"/>
      <c r="D284" s="82"/>
      <c r="E284" s="82"/>
      <c r="F284" s="83"/>
      <c r="G284" s="84"/>
      <c r="H284" s="85"/>
      <c r="I284" s="71" t="e">
        <f>#REF!&amp;" "&amp;StaffPayroll[[#This Row],[Employee ID Number / Code]]</f>
        <v>#REF!</v>
      </c>
      <c r="J284" s="71" t="str">
        <f>_xlfn.IFNA(VLOOKUP(StaffPayroll[[#This Row],[Position / Title]],Lists!A:C,3,FALSE),"")</f>
        <v/>
      </c>
      <c r="K284" s="71">
        <f>StaffPayroll[[#This Row],[Payroll Period Ends Date (Minimum two months)]]-StaffPayroll[[#This Row],[Payroll Period Begins Date        (Must start after 6/1/2025)]]+1</f>
        <v>1</v>
      </c>
      <c r="L284" s="38">
        <f>IFERROR(IF(VLOOKUP(J284,'Facility Info Input'!$B$25:$D$34,3,FALSE)="",1,VLOOKUP(J284,'Facility Info Input'!$B$25:$D$34,3,FALSE)),0)</f>
        <v>0</v>
      </c>
      <c r="M284" s="22" t="str">
        <f>IF(StaffPayroll[[#This Row],[Employee ID Number / Code]]="","",IF(StaffPayroll[[#This Row],[Position / Title]]="","",VLOOKUP(StaffPayroll[[#This Row],[Position / Title]],Lists!A:C,2,FALSE)))</f>
        <v/>
      </c>
      <c r="N284" s="22">
        <f>IF(C284="",0,StaffPayroll[[#This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4" s="31">
        <f>IF(StaffPayroll[[#This Row],[Hourly WSB  Wage Minimum]]="",0,StaffPayroll[[#This Row],[Annual NF Wage Costs after WSB Minimum]]-StaffPayroll[[#This Row],[Annual NF Wage Costs before WSB Minimum]])</f>
        <v>0</v>
      </c>
      <c r="Q284" s="31">
        <f>IFERROR(IF(StaffPayroll[[#This Row],[Annual Cost of Wage Increase included in Rate Adjustment]]=0,0,P284*'Facility Info Input'!$F$10),0)</f>
        <v>0</v>
      </c>
      <c r="R284" s="32">
        <f>IFERROR(IF(StaffPayroll[[#This Row],[Annual Cost of Wage Increase included in Rate Adjustment]]=0,0,IF('Facility Info Input'!$F$11&lt;=0,0,P284*'Facility Info Input'!$F$11)),0)</f>
        <v>0</v>
      </c>
      <c r="S284" s="32">
        <f>IFERROR(IF(StaffPayroll[[#This Row],[Annual Cost of Wage Increase included in Rate Adjustment]]=0,0,IF('Facility Info Input'!$F$12&lt;=0,0,P284*'Facility Info Input'!$F$12)),0)</f>
        <v>0</v>
      </c>
      <c r="T284" s="32">
        <f t="shared" si="8"/>
        <v>0</v>
      </c>
      <c r="U284" s="33">
        <f t="shared" si="9"/>
        <v>0</v>
      </c>
    </row>
    <row r="285" spans="1:21">
      <c r="A285" s="76"/>
      <c r="B285" s="77"/>
      <c r="C285" s="81"/>
      <c r="D285" s="82"/>
      <c r="E285" s="82"/>
      <c r="F285" s="83"/>
      <c r="G285" s="84"/>
      <c r="H285" s="85"/>
      <c r="I285" s="71" t="e">
        <f>#REF!&amp;" "&amp;StaffPayroll[[#This Row],[Employee ID Number / Code]]</f>
        <v>#REF!</v>
      </c>
      <c r="J285" s="71" t="str">
        <f>_xlfn.IFNA(VLOOKUP(StaffPayroll[[#This Row],[Position / Title]],Lists!A:C,3,FALSE),"")</f>
        <v/>
      </c>
      <c r="K285" s="71">
        <f>StaffPayroll[[#This Row],[Payroll Period Ends Date (Minimum two months)]]-StaffPayroll[[#This Row],[Payroll Period Begins Date        (Must start after 6/1/2025)]]+1</f>
        <v>1</v>
      </c>
      <c r="L285" s="38">
        <f>IFERROR(IF(VLOOKUP(J285,'Facility Info Input'!$B$25:$D$34,3,FALSE)="",1,VLOOKUP(J285,'Facility Info Input'!$B$25:$D$34,3,FALSE)),0)</f>
        <v>0</v>
      </c>
      <c r="M285" s="22" t="str">
        <f>IF(StaffPayroll[[#This Row],[Employee ID Number / Code]]="","",IF(StaffPayroll[[#This Row],[Position / Title]]="","",VLOOKUP(StaffPayroll[[#This Row],[Position / Title]],Lists!A:C,2,FALSE)))</f>
        <v/>
      </c>
      <c r="N285" s="22">
        <f>IF(C285="",0,StaffPayroll[[#This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5" s="31">
        <f>IF(StaffPayroll[[#This Row],[Hourly WSB  Wage Minimum]]="",0,StaffPayroll[[#This Row],[Annual NF Wage Costs after WSB Minimum]]-StaffPayroll[[#This Row],[Annual NF Wage Costs before WSB Minimum]])</f>
        <v>0</v>
      </c>
      <c r="Q285" s="31">
        <f>IFERROR(IF(StaffPayroll[[#This Row],[Annual Cost of Wage Increase included in Rate Adjustment]]=0,0,P285*'Facility Info Input'!$F$10),0)</f>
        <v>0</v>
      </c>
      <c r="R285" s="32">
        <f>IFERROR(IF(StaffPayroll[[#This Row],[Annual Cost of Wage Increase included in Rate Adjustment]]=0,0,IF('Facility Info Input'!$F$11&lt;=0,0,P285*'Facility Info Input'!$F$11)),0)</f>
        <v>0</v>
      </c>
      <c r="S285" s="32">
        <f>IFERROR(IF(StaffPayroll[[#This Row],[Annual Cost of Wage Increase included in Rate Adjustment]]=0,0,IF('Facility Info Input'!$F$12&lt;=0,0,P285*'Facility Info Input'!$F$12)),0)</f>
        <v>0</v>
      </c>
      <c r="T285" s="32">
        <f t="shared" si="8"/>
        <v>0</v>
      </c>
      <c r="U285" s="33">
        <f t="shared" si="9"/>
        <v>0</v>
      </c>
    </row>
    <row r="286" spans="1:21">
      <c r="A286" s="76"/>
      <c r="B286" s="77"/>
      <c r="C286" s="81"/>
      <c r="D286" s="82"/>
      <c r="E286" s="82"/>
      <c r="F286" s="83"/>
      <c r="G286" s="84"/>
      <c r="H286" s="85"/>
      <c r="I286" s="71" t="e">
        <f>#REF!&amp;" "&amp;StaffPayroll[[#This Row],[Employee ID Number / Code]]</f>
        <v>#REF!</v>
      </c>
      <c r="J286" s="71" t="str">
        <f>_xlfn.IFNA(VLOOKUP(StaffPayroll[[#This Row],[Position / Title]],Lists!A:C,3,FALSE),"")</f>
        <v/>
      </c>
      <c r="K286" s="71">
        <f>StaffPayroll[[#This Row],[Payroll Period Ends Date (Minimum two months)]]-StaffPayroll[[#This Row],[Payroll Period Begins Date        (Must start after 6/1/2025)]]+1</f>
        <v>1</v>
      </c>
      <c r="L286" s="38">
        <f>IFERROR(IF(VLOOKUP(J286,'Facility Info Input'!$B$25:$D$34,3,FALSE)="",1,VLOOKUP(J286,'Facility Info Input'!$B$25:$D$34,3,FALSE)),0)</f>
        <v>0</v>
      </c>
      <c r="M286" s="22" t="str">
        <f>IF(StaffPayroll[[#This Row],[Employee ID Number / Code]]="","",IF(StaffPayroll[[#This Row],[Position / Title]]="","",VLOOKUP(StaffPayroll[[#This Row],[Position / Title]],Lists!A:C,2,FALSE)))</f>
        <v/>
      </c>
      <c r="N286" s="22">
        <f>IF(C286="",0,StaffPayroll[[#This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6" s="31">
        <f>IF(StaffPayroll[[#This Row],[Hourly WSB  Wage Minimum]]="",0,StaffPayroll[[#This Row],[Annual NF Wage Costs after WSB Minimum]]-StaffPayroll[[#This Row],[Annual NF Wage Costs before WSB Minimum]])</f>
        <v>0</v>
      </c>
      <c r="Q286" s="31">
        <f>IFERROR(IF(StaffPayroll[[#This Row],[Annual Cost of Wage Increase included in Rate Adjustment]]=0,0,P286*'Facility Info Input'!$F$10),0)</f>
        <v>0</v>
      </c>
      <c r="R286" s="32">
        <f>IFERROR(IF(StaffPayroll[[#This Row],[Annual Cost of Wage Increase included in Rate Adjustment]]=0,0,IF('Facility Info Input'!$F$11&lt;=0,0,P286*'Facility Info Input'!$F$11)),0)</f>
        <v>0</v>
      </c>
      <c r="S286" s="32">
        <f>IFERROR(IF(StaffPayroll[[#This Row],[Annual Cost of Wage Increase included in Rate Adjustment]]=0,0,IF('Facility Info Input'!$F$12&lt;=0,0,P286*'Facility Info Input'!$F$12)),0)</f>
        <v>0</v>
      </c>
      <c r="T286" s="32">
        <f t="shared" si="8"/>
        <v>0</v>
      </c>
      <c r="U286" s="33">
        <f t="shared" si="9"/>
        <v>0</v>
      </c>
    </row>
    <row r="287" spans="1:21">
      <c r="A287" s="76"/>
      <c r="B287" s="77"/>
      <c r="C287" s="81"/>
      <c r="D287" s="82"/>
      <c r="E287" s="82"/>
      <c r="F287" s="83"/>
      <c r="G287" s="84"/>
      <c r="H287" s="85"/>
      <c r="I287" s="71" t="e">
        <f>#REF!&amp;" "&amp;StaffPayroll[[#This Row],[Employee ID Number / Code]]</f>
        <v>#REF!</v>
      </c>
      <c r="J287" s="71" t="str">
        <f>_xlfn.IFNA(VLOOKUP(StaffPayroll[[#This Row],[Position / Title]],Lists!A:C,3,FALSE),"")</f>
        <v/>
      </c>
      <c r="K287" s="71">
        <f>StaffPayroll[[#This Row],[Payroll Period Ends Date (Minimum two months)]]-StaffPayroll[[#This Row],[Payroll Period Begins Date        (Must start after 6/1/2025)]]+1</f>
        <v>1</v>
      </c>
      <c r="L287" s="38">
        <f>IFERROR(IF(VLOOKUP(J287,'Facility Info Input'!$B$25:$D$34,3,FALSE)="",1,VLOOKUP(J287,'Facility Info Input'!$B$25:$D$34,3,FALSE)),0)</f>
        <v>0</v>
      </c>
      <c r="M287" s="22" t="str">
        <f>IF(StaffPayroll[[#This Row],[Employee ID Number / Code]]="","",IF(StaffPayroll[[#This Row],[Position / Title]]="","",VLOOKUP(StaffPayroll[[#This Row],[Position / Title]],Lists!A:C,2,FALSE)))</f>
        <v/>
      </c>
      <c r="N287" s="22">
        <f>IF(C287="",0,StaffPayroll[[#This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7" s="31">
        <f>IF(StaffPayroll[[#This Row],[Hourly WSB  Wage Minimum]]="",0,StaffPayroll[[#This Row],[Annual NF Wage Costs after WSB Minimum]]-StaffPayroll[[#This Row],[Annual NF Wage Costs before WSB Minimum]])</f>
        <v>0</v>
      </c>
      <c r="Q287" s="31">
        <f>IFERROR(IF(StaffPayroll[[#This Row],[Annual Cost of Wage Increase included in Rate Adjustment]]=0,0,P287*'Facility Info Input'!$F$10),0)</f>
        <v>0</v>
      </c>
      <c r="R287" s="32">
        <f>IFERROR(IF(StaffPayroll[[#This Row],[Annual Cost of Wage Increase included in Rate Adjustment]]=0,0,IF('Facility Info Input'!$F$11&lt;=0,0,P287*'Facility Info Input'!$F$11)),0)</f>
        <v>0</v>
      </c>
      <c r="S287" s="32">
        <f>IFERROR(IF(StaffPayroll[[#This Row],[Annual Cost of Wage Increase included in Rate Adjustment]]=0,0,IF('Facility Info Input'!$F$12&lt;=0,0,P287*'Facility Info Input'!$F$12)),0)</f>
        <v>0</v>
      </c>
      <c r="T287" s="32">
        <f t="shared" si="8"/>
        <v>0</v>
      </c>
      <c r="U287" s="33">
        <f t="shared" si="9"/>
        <v>0</v>
      </c>
    </row>
    <row r="288" spans="1:21">
      <c r="A288" s="76"/>
      <c r="B288" s="77"/>
      <c r="C288" s="81"/>
      <c r="D288" s="82"/>
      <c r="E288" s="82"/>
      <c r="F288" s="83"/>
      <c r="G288" s="84"/>
      <c r="H288" s="85"/>
      <c r="I288" s="71" t="e">
        <f>#REF!&amp;" "&amp;StaffPayroll[[#This Row],[Employee ID Number / Code]]</f>
        <v>#REF!</v>
      </c>
      <c r="J288" s="71" t="str">
        <f>_xlfn.IFNA(VLOOKUP(StaffPayroll[[#This Row],[Position / Title]],Lists!A:C,3,FALSE),"")</f>
        <v/>
      </c>
      <c r="K288" s="71">
        <f>StaffPayroll[[#This Row],[Payroll Period Ends Date (Minimum two months)]]-StaffPayroll[[#This Row],[Payroll Period Begins Date        (Must start after 6/1/2025)]]+1</f>
        <v>1</v>
      </c>
      <c r="L288" s="38">
        <f>IFERROR(IF(VLOOKUP(J288,'Facility Info Input'!$B$25:$D$34,3,FALSE)="",1,VLOOKUP(J288,'Facility Info Input'!$B$25:$D$34,3,FALSE)),0)</f>
        <v>0</v>
      </c>
      <c r="M288" s="22" t="str">
        <f>IF(StaffPayroll[[#This Row],[Employee ID Number / Code]]="","",IF(StaffPayroll[[#This Row],[Position / Title]]="","",VLOOKUP(StaffPayroll[[#This Row],[Position / Title]],Lists!A:C,2,FALSE)))</f>
        <v/>
      </c>
      <c r="N288" s="22">
        <f>IF(C288="",0,StaffPayroll[[#This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8" s="31">
        <f>IF(StaffPayroll[[#This Row],[Hourly WSB  Wage Minimum]]="",0,StaffPayroll[[#This Row],[Annual NF Wage Costs after WSB Minimum]]-StaffPayroll[[#This Row],[Annual NF Wage Costs before WSB Minimum]])</f>
        <v>0</v>
      </c>
      <c r="Q288" s="31">
        <f>IFERROR(IF(StaffPayroll[[#This Row],[Annual Cost of Wage Increase included in Rate Adjustment]]=0,0,P288*'Facility Info Input'!$F$10),0)</f>
        <v>0</v>
      </c>
      <c r="R288" s="32">
        <f>IFERROR(IF(StaffPayroll[[#This Row],[Annual Cost of Wage Increase included in Rate Adjustment]]=0,0,IF('Facility Info Input'!$F$11&lt;=0,0,P288*'Facility Info Input'!$F$11)),0)</f>
        <v>0</v>
      </c>
      <c r="S288" s="32">
        <f>IFERROR(IF(StaffPayroll[[#This Row],[Annual Cost of Wage Increase included in Rate Adjustment]]=0,0,IF('Facility Info Input'!$F$12&lt;=0,0,P288*'Facility Info Input'!$F$12)),0)</f>
        <v>0</v>
      </c>
      <c r="T288" s="32">
        <f t="shared" si="8"/>
        <v>0</v>
      </c>
      <c r="U288" s="33">
        <f t="shared" si="9"/>
        <v>0</v>
      </c>
    </row>
    <row r="289" spans="1:21">
      <c r="A289" s="76"/>
      <c r="B289" s="77"/>
      <c r="C289" s="81"/>
      <c r="D289" s="82"/>
      <c r="E289" s="82"/>
      <c r="F289" s="83"/>
      <c r="G289" s="84"/>
      <c r="H289" s="85"/>
      <c r="I289" s="71" t="e">
        <f>#REF!&amp;" "&amp;StaffPayroll[[#This Row],[Employee ID Number / Code]]</f>
        <v>#REF!</v>
      </c>
      <c r="J289" s="71" t="str">
        <f>_xlfn.IFNA(VLOOKUP(StaffPayroll[[#This Row],[Position / Title]],Lists!A:C,3,FALSE),"")</f>
        <v/>
      </c>
      <c r="K289" s="71">
        <f>StaffPayroll[[#This Row],[Payroll Period Ends Date (Minimum two months)]]-StaffPayroll[[#This Row],[Payroll Period Begins Date        (Must start after 6/1/2025)]]+1</f>
        <v>1</v>
      </c>
      <c r="L289" s="38">
        <f>IFERROR(IF(VLOOKUP(J289,'Facility Info Input'!$B$25:$D$34,3,FALSE)="",1,VLOOKUP(J289,'Facility Info Input'!$B$25:$D$34,3,FALSE)),0)</f>
        <v>0</v>
      </c>
      <c r="M289" s="22" t="str">
        <f>IF(StaffPayroll[[#This Row],[Employee ID Number / Code]]="","",IF(StaffPayroll[[#This Row],[Position / Title]]="","",VLOOKUP(StaffPayroll[[#This Row],[Position / Title]],Lists!A:C,2,FALSE)))</f>
        <v/>
      </c>
      <c r="N289" s="22">
        <f>IF(C289="",0,StaffPayroll[[#This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8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89" s="31">
        <f>IF(StaffPayroll[[#This Row],[Hourly WSB  Wage Minimum]]="",0,StaffPayroll[[#This Row],[Annual NF Wage Costs after WSB Minimum]]-StaffPayroll[[#This Row],[Annual NF Wage Costs before WSB Minimum]])</f>
        <v>0</v>
      </c>
      <c r="Q289" s="31">
        <f>IFERROR(IF(StaffPayroll[[#This Row],[Annual Cost of Wage Increase included in Rate Adjustment]]=0,0,P289*'Facility Info Input'!$F$10),0)</f>
        <v>0</v>
      </c>
      <c r="R289" s="32">
        <f>IFERROR(IF(StaffPayroll[[#This Row],[Annual Cost of Wage Increase included in Rate Adjustment]]=0,0,IF('Facility Info Input'!$F$11&lt;=0,0,P289*'Facility Info Input'!$F$11)),0)</f>
        <v>0</v>
      </c>
      <c r="S289" s="32">
        <f>IFERROR(IF(StaffPayroll[[#This Row],[Annual Cost of Wage Increase included in Rate Adjustment]]=0,0,IF('Facility Info Input'!$F$12&lt;=0,0,P289*'Facility Info Input'!$F$12)),0)</f>
        <v>0</v>
      </c>
      <c r="T289" s="32">
        <f t="shared" si="8"/>
        <v>0</v>
      </c>
      <c r="U289" s="33">
        <f t="shared" si="9"/>
        <v>0</v>
      </c>
    </row>
    <row r="290" spans="1:21">
      <c r="A290" s="76"/>
      <c r="B290" s="77"/>
      <c r="C290" s="81"/>
      <c r="D290" s="82"/>
      <c r="E290" s="82"/>
      <c r="F290" s="83"/>
      <c r="G290" s="84"/>
      <c r="H290" s="85"/>
      <c r="I290" s="71" t="e">
        <f>#REF!&amp;" "&amp;StaffPayroll[[#This Row],[Employee ID Number / Code]]</f>
        <v>#REF!</v>
      </c>
      <c r="J290" s="71" t="str">
        <f>_xlfn.IFNA(VLOOKUP(StaffPayroll[[#This Row],[Position / Title]],Lists!A:C,3,FALSE),"")</f>
        <v/>
      </c>
      <c r="K290" s="71">
        <f>StaffPayroll[[#This Row],[Payroll Period Ends Date (Minimum two months)]]-StaffPayroll[[#This Row],[Payroll Period Begins Date        (Must start after 6/1/2025)]]+1</f>
        <v>1</v>
      </c>
      <c r="L290" s="38">
        <f>IFERROR(IF(VLOOKUP(J290,'Facility Info Input'!$B$25:$D$34,3,FALSE)="",1,VLOOKUP(J290,'Facility Info Input'!$B$25:$D$34,3,FALSE)),0)</f>
        <v>0</v>
      </c>
      <c r="M290" s="22" t="str">
        <f>IF(StaffPayroll[[#This Row],[Employee ID Number / Code]]="","",IF(StaffPayroll[[#This Row],[Position / Title]]="","",VLOOKUP(StaffPayroll[[#This Row],[Position / Title]],Lists!A:C,2,FALSE)))</f>
        <v/>
      </c>
      <c r="N290" s="22">
        <f>IF(C290="",0,StaffPayroll[[#This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0" s="31">
        <f>IF(StaffPayroll[[#This Row],[Hourly WSB  Wage Minimum]]="",0,StaffPayroll[[#This Row],[Annual NF Wage Costs after WSB Minimum]]-StaffPayroll[[#This Row],[Annual NF Wage Costs before WSB Minimum]])</f>
        <v>0</v>
      </c>
      <c r="Q290" s="31">
        <f>IFERROR(IF(StaffPayroll[[#This Row],[Annual Cost of Wage Increase included in Rate Adjustment]]=0,0,P290*'Facility Info Input'!$F$10),0)</f>
        <v>0</v>
      </c>
      <c r="R290" s="32">
        <f>IFERROR(IF(StaffPayroll[[#This Row],[Annual Cost of Wage Increase included in Rate Adjustment]]=0,0,IF('Facility Info Input'!$F$11&lt;=0,0,P290*'Facility Info Input'!$F$11)),0)</f>
        <v>0</v>
      </c>
      <c r="S290" s="32">
        <f>IFERROR(IF(StaffPayroll[[#This Row],[Annual Cost of Wage Increase included in Rate Adjustment]]=0,0,IF('Facility Info Input'!$F$12&lt;=0,0,P290*'Facility Info Input'!$F$12)),0)</f>
        <v>0</v>
      </c>
      <c r="T290" s="32">
        <f t="shared" si="8"/>
        <v>0</v>
      </c>
      <c r="U290" s="33">
        <f t="shared" si="9"/>
        <v>0</v>
      </c>
    </row>
    <row r="291" spans="1:21">
      <c r="A291" s="76"/>
      <c r="B291" s="77"/>
      <c r="C291" s="81"/>
      <c r="D291" s="82"/>
      <c r="E291" s="82"/>
      <c r="F291" s="83"/>
      <c r="G291" s="84"/>
      <c r="H291" s="85"/>
      <c r="I291" s="71" t="e">
        <f>#REF!&amp;" "&amp;StaffPayroll[[#This Row],[Employee ID Number / Code]]</f>
        <v>#REF!</v>
      </c>
      <c r="J291" s="71" t="str">
        <f>_xlfn.IFNA(VLOOKUP(StaffPayroll[[#This Row],[Position / Title]],Lists!A:C,3,FALSE),"")</f>
        <v/>
      </c>
      <c r="K291" s="71">
        <f>StaffPayroll[[#This Row],[Payroll Period Ends Date (Minimum two months)]]-StaffPayroll[[#This Row],[Payroll Period Begins Date        (Must start after 6/1/2025)]]+1</f>
        <v>1</v>
      </c>
      <c r="L291" s="38">
        <f>IFERROR(IF(VLOOKUP(J291,'Facility Info Input'!$B$25:$D$34,3,FALSE)="",1,VLOOKUP(J291,'Facility Info Input'!$B$25:$D$34,3,FALSE)),0)</f>
        <v>0</v>
      </c>
      <c r="M291" s="22" t="str">
        <f>IF(StaffPayroll[[#This Row],[Employee ID Number / Code]]="","",IF(StaffPayroll[[#This Row],[Position / Title]]="","",VLOOKUP(StaffPayroll[[#This Row],[Position / Title]],Lists!A:C,2,FALSE)))</f>
        <v/>
      </c>
      <c r="N291" s="22">
        <f>IF(C291="",0,StaffPayroll[[#This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1" s="31">
        <f>IF(StaffPayroll[[#This Row],[Hourly WSB  Wage Minimum]]="",0,StaffPayroll[[#This Row],[Annual NF Wage Costs after WSB Minimum]]-StaffPayroll[[#This Row],[Annual NF Wage Costs before WSB Minimum]])</f>
        <v>0</v>
      </c>
      <c r="Q291" s="31">
        <f>IFERROR(IF(StaffPayroll[[#This Row],[Annual Cost of Wage Increase included in Rate Adjustment]]=0,0,P291*'Facility Info Input'!$F$10),0)</f>
        <v>0</v>
      </c>
      <c r="R291" s="32">
        <f>IFERROR(IF(StaffPayroll[[#This Row],[Annual Cost of Wage Increase included in Rate Adjustment]]=0,0,IF('Facility Info Input'!$F$11&lt;=0,0,P291*'Facility Info Input'!$F$11)),0)</f>
        <v>0</v>
      </c>
      <c r="S291" s="32">
        <f>IFERROR(IF(StaffPayroll[[#This Row],[Annual Cost of Wage Increase included in Rate Adjustment]]=0,0,IF('Facility Info Input'!$F$12&lt;=0,0,P291*'Facility Info Input'!$F$12)),0)</f>
        <v>0</v>
      </c>
      <c r="T291" s="32">
        <f t="shared" si="8"/>
        <v>0</v>
      </c>
      <c r="U291" s="33">
        <f t="shared" si="9"/>
        <v>0</v>
      </c>
    </row>
    <row r="292" spans="1:21">
      <c r="A292" s="76"/>
      <c r="B292" s="77"/>
      <c r="C292" s="81"/>
      <c r="D292" s="82"/>
      <c r="E292" s="82"/>
      <c r="F292" s="83"/>
      <c r="G292" s="84"/>
      <c r="H292" s="85"/>
      <c r="I292" s="71" t="e">
        <f>#REF!&amp;" "&amp;StaffPayroll[[#This Row],[Employee ID Number / Code]]</f>
        <v>#REF!</v>
      </c>
      <c r="J292" s="71" t="str">
        <f>_xlfn.IFNA(VLOOKUP(StaffPayroll[[#This Row],[Position / Title]],Lists!A:C,3,FALSE),"")</f>
        <v/>
      </c>
      <c r="K292" s="71">
        <f>StaffPayroll[[#This Row],[Payroll Period Ends Date (Minimum two months)]]-StaffPayroll[[#This Row],[Payroll Period Begins Date        (Must start after 6/1/2025)]]+1</f>
        <v>1</v>
      </c>
      <c r="L292" s="38">
        <f>IFERROR(IF(VLOOKUP(J292,'Facility Info Input'!$B$25:$D$34,3,FALSE)="",1,VLOOKUP(J292,'Facility Info Input'!$B$25:$D$34,3,FALSE)),0)</f>
        <v>0</v>
      </c>
      <c r="M292" s="22" t="str">
        <f>IF(StaffPayroll[[#This Row],[Employee ID Number / Code]]="","",IF(StaffPayroll[[#This Row],[Position / Title]]="","",VLOOKUP(StaffPayroll[[#This Row],[Position / Title]],Lists!A:C,2,FALSE)))</f>
        <v/>
      </c>
      <c r="N292" s="22">
        <f>IF(C292="",0,StaffPayroll[[#This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2" s="31">
        <f>IF(StaffPayroll[[#This Row],[Hourly WSB  Wage Minimum]]="",0,StaffPayroll[[#This Row],[Annual NF Wage Costs after WSB Minimum]]-StaffPayroll[[#This Row],[Annual NF Wage Costs before WSB Minimum]])</f>
        <v>0</v>
      </c>
      <c r="Q292" s="31">
        <f>IFERROR(IF(StaffPayroll[[#This Row],[Annual Cost of Wage Increase included in Rate Adjustment]]=0,0,P292*'Facility Info Input'!$F$10),0)</f>
        <v>0</v>
      </c>
      <c r="R292" s="32">
        <f>IFERROR(IF(StaffPayroll[[#This Row],[Annual Cost of Wage Increase included in Rate Adjustment]]=0,0,IF('Facility Info Input'!$F$11&lt;=0,0,P292*'Facility Info Input'!$F$11)),0)</f>
        <v>0</v>
      </c>
      <c r="S292" s="32">
        <f>IFERROR(IF(StaffPayroll[[#This Row],[Annual Cost of Wage Increase included in Rate Adjustment]]=0,0,IF('Facility Info Input'!$F$12&lt;=0,0,P292*'Facility Info Input'!$F$12)),0)</f>
        <v>0</v>
      </c>
      <c r="T292" s="32">
        <f t="shared" si="8"/>
        <v>0</v>
      </c>
      <c r="U292" s="33">
        <f t="shared" si="9"/>
        <v>0</v>
      </c>
    </row>
    <row r="293" spans="1:21">
      <c r="A293" s="76"/>
      <c r="B293" s="77"/>
      <c r="C293" s="81"/>
      <c r="D293" s="82"/>
      <c r="E293" s="82"/>
      <c r="F293" s="83"/>
      <c r="G293" s="84"/>
      <c r="H293" s="85"/>
      <c r="I293" s="71" t="e">
        <f>#REF!&amp;" "&amp;StaffPayroll[[#This Row],[Employee ID Number / Code]]</f>
        <v>#REF!</v>
      </c>
      <c r="J293" s="71" t="str">
        <f>_xlfn.IFNA(VLOOKUP(StaffPayroll[[#This Row],[Position / Title]],Lists!A:C,3,FALSE),"")</f>
        <v/>
      </c>
      <c r="K293" s="71">
        <f>StaffPayroll[[#This Row],[Payroll Period Ends Date (Minimum two months)]]-StaffPayroll[[#This Row],[Payroll Period Begins Date        (Must start after 6/1/2025)]]+1</f>
        <v>1</v>
      </c>
      <c r="L293" s="38">
        <f>IFERROR(IF(VLOOKUP(J293,'Facility Info Input'!$B$25:$D$34,3,FALSE)="",1,VLOOKUP(J293,'Facility Info Input'!$B$25:$D$34,3,FALSE)),0)</f>
        <v>0</v>
      </c>
      <c r="M293" s="22" t="str">
        <f>IF(StaffPayroll[[#This Row],[Employee ID Number / Code]]="","",IF(StaffPayroll[[#This Row],[Position / Title]]="","",VLOOKUP(StaffPayroll[[#This Row],[Position / Title]],Lists!A:C,2,FALSE)))</f>
        <v/>
      </c>
      <c r="N293" s="22">
        <f>IF(C293="",0,StaffPayroll[[#This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3" s="31">
        <f>IF(StaffPayroll[[#This Row],[Hourly WSB  Wage Minimum]]="",0,StaffPayroll[[#This Row],[Annual NF Wage Costs after WSB Minimum]]-StaffPayroll[[#This Row],[Annual NF Wage Costs before WSB Minimum]])</f>
        <v>0</v>
      </c>
      <c r="Q293" s="31">
        <f>IFERROR(IF(StaffPayroll[[#This Row],[Annual Cost of Wage Increase included in Rate Adjustment]]=0,0,P293*'Facility Info Input'!$F$10),0)</f>
        <v>0</v>
      </c>
      <c r="R293" s="32">
        <f>IFERROR(IF(StaffPayroll[[#This Row],[Annual Cost of Wage Increase included in Rate Adjustment]]=0,0,IF('Facility Info Input'!$F$11&lt;=0,0,P293*'Facility Info Input'!$F$11)),0)</f>
        <v>0</v>
      </c>
      <c r="S293" s="32">
        <f>IFERROR(IF(StaffPayroll[[#This Row],[Annual Cost of Wage Increase included in Rate Adjustment]]=0,0,IF('Facility Info Input'!$F$12&lt;=0,0,P293*'Facility Info Input'!$F$12)),0)</f>
        <v>0</v>
      </c>
      <c r="T293" s="32">
        <f t="shared" si="8"/>
        <v>0</v>
      </c>
      <c r="U293" s="33">
        <f t="shared" si="9"/>
        <v>0</v>
      </c>
    </row>
    <row r="294" spans="1:21">
      <c r="A294" s="76"/>
      <c r="B294" s="77"/>
      <c r="C294" s="81"/>
      <c r="D294" s="82"/>
      <c r="E294" s="82"/>
      <c r="F294" s="83"/>
      <c r="G294" s="84"/>
      <c r="H294" s="85"/>
      <c r="I294" s="71" t="e">
        <f>#REF!&amp;" "&amp;StaffPayroll[[#This Row],[Employee ID Number / Code]]</f>
        <v>#REF!</v>
      </c>
      <c r="J294" s="71" t="str">
        <f>_xlfn.IFNA(VLOOKUP(StaffPayroll[[#This Row],[Position / Title]],Lists!A:C,3,FALSE),"")</f>
        <v/>
      </c>
      <c r="K294" s="71">
        <f>StaffPayroll[[#This Row],[Payroll Period Ends Date (Minimum two months)]]-StaffPayroll[[#This Row],[Payroll Period Begins Date        (Must start after 6/1/2025)]]+1</f>
        <v>1</v>
      </c>
      <c r="L294" s="38">
        <f>IFERROR(IF(VLOOKUP(J294,'Facility Info Input'!$B$25:$D$34,3,FALSE)="",1,VLOOKUP(J294,'Facility Info Input'!$B$25:$D$34,3,FALSE)),0)</f>
        <v>0</v>
      </c>
      <c r="M294" s="22" t="str">
        <f>IF(StaffPayroll[[#This Row],[Employee ID Number / Code]]="","",IF(StaffPayroll[[#This Row],[Position / Title]]="","",VLOOKUP(StaffPayroll[[#This Row],[Position / Title]],Lists!A:C,2,FALSE)))</f>
        <v/>
      </c>
      <c r="N294" s="22">
        <f>IF(C294="",0,StaffPayroll[[#This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4" s="31">
        <f>IF(StaffPayroll[[#This Row],[Hourly WSB  Wage Minimum]]="",0,StaffPayroll[[#This Row],[Annual NF Wage Costs after WSB Minimum]]-StaffPayroll[[#This Row],[Annual NF Wage Costs before WSB Minimum]])</f>
        <v>0</v>
      </c>
      <c r="Q294" s="31">
        <f>IFERROR(IF(StaffPayroll[[#This Row],[Annual Cost of Wage Increase included in Rate Adjustment]]=0,0,P294*'Facility Info Input'!$F$10),0)</f>
        <v>0</v>
      </c>
      <c r="R294" s="32">
        <f>IFERROR(IF(StaffPayroll[[#This Row],[Annual Cost of Wage Increase included in Rate Adjustment]]=0,0,IF('Facility Info Input'!$F$11&lt;=0,0,P294*'Facility Info Input'!$F$11)),0)</f>
        <v>0</v>
      </c>
      <c r="S294" s="32">
        <f>IFERROR(IF(StaffPayroll[[#This Row],[Annual Cost of Wage Increase included in Rate Adjustment]]=0,0,IF('Facility Info Input'!$F$12&lt;=0,0,P294*'Facility Info Input'!$F$12)),0)</f>
        <v>0</v>
      </c>
      <c r="T294" s="32">
        <f t="shared" si="8"/>
        <v>0</v>
      </c>
      <c r="U294" s="33">
        <f t="shared" si="9"/>
        <v>0</v>
      </c>
    </row>
    <row r="295" spans="1:21">
      <c r="A295" s="76"/>
      <c r="B295" s="77"/>
      <c r="C295" s="81"/>
      <c r="D295" s="82"/>
      <c r="E295" s="82"/>
      <c r="F295" s="83"/>
      <c r="G295" s="84"/>
      <c r="H295" s="85"/>
      <c r="I295" s="71" t="e">
        <f>#REF!&amp;" "&amp;StaffPayroll[[#This Row],[Employee ID Number / Code]]</f>
        <v>#REF!</v>
      </c>
      <c r="J295" s="71" t="str">
        <f>_xlfn.IFNA(VLOOKUP(StaffPayroll[[#This Row],[Position / Title]],Lists!A:C,3,FALSE),"")</f>
        <v/>
      </c>
      <c r="K295" s="71">
        <f>StaffPayroll[[#This Row],[Payroll Period Ends Date (Minimum two months)]]-StaffPayroll[[#This Row],[Payroll Period Begins Date        (Must start after 6/1/2025)]]+1</f>
        <v>1</v>
      </c>
      <c r="L295" s="38">
        <f>IFERROR(IF(VLOOKUP(J295,'Facility Info Input'!$B$25:$D$34,3,FALSE)="",1,VLOOKUP(J295,'Facility Info Input'!$B$25:$D$34,3,FALSE)),0)</f>
        <v>0</v>
      </c>
      <c r="M295" s="22" t="str">
        <f>IF(StaffPayroll[[#This Row],[Employee ID Number / Code]]="","",IF(StaffPayroll[[#This Row],[Position / Title]]="","",VLOOKUP(StaffPayroll[[#This Row],[Position / Title]],Lists!A:C,2,FALSE)))</f>
        <v/>
      </c>
      <c r="N295" s="22">
        <f>IF(C295="",0,StaffPayroll[[#This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5" s="31">
        <f>IF(StaffPayroll[[#This Row],[Hourly WSB  Wage Minimum]]="",0,StaffPayroll[[#This Row],[Annual NF Wage Costs after WSB Minimum]]-StaffPayroll[[#This Row],[Annual NF Wage Costs before WSB Minimum]])</f>
        <v>0</v>
      </c>
      <c r="Q295" s="31">
        <f>IFERROR(IF(StaffPayroll[[#This Row],[Annual Cost of Wage Increase included in Rate Adjustment]]=0,0,P295*'Facility Info Input'!$F$10),0)</f>
        <v>0</v>
      </c>
      <c r="R295" s="32">
        <f>IFERROR(IF(StaffPayroll[[#This Row],[Annual Cost of Wage Increase included in Rate Adjustment]]=0,0,IF('Facility Info Input'!$F$11&lt;=0,0,P295*'Facility Info Input'!$F$11)),0)</f>
        <v>0</v>
      </c>
      <c r="S295" s="32">
        <f>IFERROR(IF(StaffPayroll[[#This Row],[Annual Cost of Wage Increase included in Rate Adjustment]]=0,0,IF('Facility Info Input'!$F$12&lt;=0,0,P295*'Facility Info Input'!$F$12)),0)</f>
        <v>0</v>
      </c>
      <c r="T295" s="32">
        <f t="shared" si="8"/>
        <v>0</v>
      </c>
      <c r="U295" s="33">
        <f t="shared" si="9"/>
        <v>0</v>
      </c>
    </row>
    <row r="296" spans="1:21">
      <c r="A296" s="76"/>
      <c r="B296" s="77"/>
      <c r="C296" s="81"/>
      <c r="D296" s="82"/>
      <c r="E296" s="82"/>
      <c r="F296" s="83"/>
      <c r="G296" s="84"/>
      <c r="H296" s="85"/>
      <c r="I296" s="71" t="e">
        <f>#REF!&amp;" "&amp;StaffPayroll[[#This Row],[Employee ID Number / Code]]</f>
        <v>#REF!</v>
      </c>
      <c r="J296" s="71" t="str">
        <f>_xlfn.IFNA(VLOOKUP(StaffPayroll[[#This Row],[Position / Title]],Lists!A:C,3,FALSE),"")</f>
        <v/>
      </c>
      <c r="K296" s="71">
        <f>StaffPayroll[[#This Row],[Payroll Period Ends Date (Minimum two months)]]-StaffPayroll[[#This Row],[Payroll Period Begins Date        (Must start after 6/1/2025)]]+1</f>
        <v>1</v>
      </c>
      <c r="L296" s="38">
        <f>IFERROR(IF(VLOOKUP(J296,'Facility Info Input'!$B$25:$D$34,3,FALSE)="",1,VLOOKUP(J296,'Facility Info Input'!$B$25:$D$34,3,FALSE)),0)</f>
        <v>0</v>
      </c>
      <c r="M296" s="22" t="str">
        <f>IF(StaffPayroll[[#This Row],[Employee ID Number / Code]]="","",IF(StaffPayroll[[#This Row],[Position / Title]]="","",VLOOKUP(StaffPayroll[[#This Row],[Position / Title]],Lists!A:C,2,FALSE)))</f>
        <v/>
      </c>
      <c r="N296" s="22">
        <f>IF(C296="",0,StaffPayroll[[#This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6" s="31">
        <f>IF(StaffPayroll[[#This Row],[Hourly WSB  Wage Minimum]]="",0,StaffPayroll[[#This Row],[Annual NF Wage Costs after WSB Minimum]]-StaffPayroll[[#This Row],[Annual NF Wage Costs before WSB Minimum]])</f>
        <v>0</v>
      </c>
      <c r="Q296" s="31">
        <f>IFERROR(IF(StaffPayroll[[#This Row],[Annual Cost of Wage Increase included in Rate Adjustment]]=0,0,P296*'Facility Info Input'!$F$10),0)</f>
        <v>0</v>
      </c>
      <c r="R296" s="32">
        <f>IFERROR(IF(StaffPayroll[[#This Row],[Annual Cost of Wage Increase included in Rate Adjustment]]=0,0,IF('Facility Info Input'!$F$11&lt;=0,0,P296*'Facility Info Input'!$F$11)),0)</f>
        <v>0</v>
      </c>
      <c r="S296" s="32">
        <f>IFERROR(IF(StaffPayroll[[#This Row],[Annual Cost of Wage Increase included in Rate Adjustment]]=0,0,IF('Facility Info Input'!$F$12&lt;=0,0,P296*'Facility Info Input'!$F$12)),0)</f>
        <v>0</v>
      </c>
      <c r="T296" s="32">
        <f t="shared" si="8"/>
        <v>0</v>
      </c>
      <c r="U296" s="33">
        <f t="shared" si="9"/>
        <v>0</v>
      </c>
    </row>
    <row r="297" spans="1:21">
      <c r="A297" s="76"/>
      <c r="B297" s="77"/>
      <c r="C297" s="81"/>
      <c r="D297" s="82"/>
      <c r="E297" s="82"/>
      <c r="F297" s="83"/>
      <c r="G297" s="84"/>
      <c r="H297" s="85"/>
      <c r="I297" s="71" t="e">
        <f>#REF!&amp;" "&amp;StaffPayroll[[#This Row],[Employee ID Number / Code]]</f>
        <v>#REF!</v>
      </c>
      <c r="J297" s="71" t="str">
        <f>_xlfn.IFNA(VLOOKUP(StaffPayroll[[#This Row],[Position / Title]],Lists!A:C,3,FALSE),"")</f>
        <v/>
      </c>
      <c r="K297" s="71">
        <f>StaffPayroll[[#This Row],[Payroll Period Ends Date (Minimum two months)]]-StaffPayroll[[#This Row],[Payroll Period Begins Date        (Must start after 6/1/2025)]]+1</f>
        <v>1</v>
      </c>
      <c r="L297" s="38">
        <f>IFERROR(IF(VLOOKUP(J297,'Facility Info Input'!$B$25:$D$34,3,FALSE)="",1,VLOOKUP(J297,'Facility Info Input'!$B$25:$D$34,3,FALSE)),0)</f>
        <v>0</v>
      </c>
      <c r="M297" s="22" t="str">
        <f>IF(StaffPayroll[[#This Row],[Employee ID Number / Code]]="","",IF(StaffPayroll[[#This Row],[Position / Title]]="","",VLOOKUP(StaffPayroll[[#This Row],[Position / Title]],Lists!A:C,2,FALSE)))</f>
        <v/>
      </c>
      <c r="N297" s="22">
        <f>IF(C297="",0,StaffPayroll[[#This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7" s="31">
        <f>IF(StaffPayroll[[#This Row],[Hourly WSB  Wage Minimum]]="",0,StaffPayroll[[#This Row],[Annual NF Wage Costs after WSB Minimum]]-StaffPayroll[[#This Row],[Annual NF Wage Costs before WSB Minimum]])</f>
        <v>0</v>
      </c>
      <c r="Q297" s="31">
        <f>IFERROR(IF(StaffPayroll[[#This Row],[Annual Cost of Wage Increase included in Rate Adjustment]]=0,0,P297*'Facility Info Input'!$F$10),0)</f>
        <v>0</v>
      </c>
      <c r="R297" s="32">
        <f>IFERROR(IF(StaffPayroll[[#This Row],[Annual Cost of Wage Increase included in Rate Adjustment]]=0,0,IF('Facility Info Input'!$F$11&lt;=0,0,P297*'Facility Info Input'!$F$11)),0)</f>
        <v>0</v>
      </c>
      <c r="S297" s="32">
        <f>IFERROR(IF(StaffPayroll[[#This Row],[Annual Cost of Wage Increase included in Rate Adjustment]]=0,0,IF('Facility Info Input'!$F$12&lt;=0,0,P297*'Facility Info Input'!$F$12)),0)</f>
        <v>0</v>
      </c>
      <c r="T297" s="32">
        <f t="shared" si="8"/>
        <v>0</v>
      </c>
      <c r="U297" s="33">
        <f t="shared" si="9"/>
        <v>0</v>
      </c>
    </row>
    <row r="298" spans="1:21">
      <c r="A298" s="76"/>
      <c r="B298" s="77"/>
      <c r="C298" s="81"/>
      <c r="D298" s="82"/>
      <c r="E298" s="82"/>
      <c r="F298" s="83"/>
      <c r="G298" s="84"/>
      <c r="H298" s="85"/>
      <c r="I298" s="71" t="e">
        <f>#REF!&amp;" "&amp;StaffPayroll[[#This Row],[Employee ID Number / Code]]</f>
        <v>#REF!</v>
      </c>
      <c r="J298" s="71" t="str">
        <f>_xlfn.IFNA(VLOOKUP(StaffPayroll[[#This Row],[Position / Title]],Lists!A:C,3,FALSE),"")</f>
        <v/>
      </c>
      <c r="K298" s="71">
        <f>StaffPayroll[[#This Row],[Payroll Period Ends Date (Minimum two months)]]-StaffPayroll[[#This Row],[Payroll Period Begins Date        (Must start after 6/1/2025)]]+1</f>
        <v>1</v>
      </c>
      <c r="L298" s="38">
        <f>IFERROR(IF(VLOOKUP(J298,'Facility Info Input'!$B$25:$D$34,3,FALSE)="",1,VLOOKUP(J298,'Facility Info Input'!$B$25:$D$34,3,FALSE)),0)</f>
        <v>0</v>
      </c>
      <c r="M298" s="22" t="str">
        <f>IF(StaffPayroll[[#This Row],[Employee ID Number / Code]]="","",IF(StaffPayroll[[#This Row],[Position / Title]]="","",VLOOKUP(StaffPayroll[[#This Row],[Position / Title]],Lists!A:C,2,FALSE)))</f>
        <v/>
      </c>
      <c r="N298" s="22">
        <f>IF(C298="",0,StaffPayroll[[#This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8" s="31">
        <f>IF(StaffPayroll[[#This Row],[Hourly WSB  Wage Minimum]]="",0,StaffPayroll[[#This Row],[Annual NF Wage Costs after WSB Minimum]]-StaffPayroll[[#This Row],[Annual NF Wage Costs before WSB Minimum]])</f>
        <v>0</v>
      </c>
      <c r="Q298" s="31">
        <f>IFERROR(IF(StaffPayroll[[#This Row],[Annual Cost of Wage Increase included in Rate Adjustment]]=0,0,P298*'Facility Info Input'!$F$10),0)</f>
        <v>0</v>
      </c>
      <c r="R298" s="32">
        <f>IFERROR(IF(StaffPayroll[[#This Row],[Annual Cost of Wage Increase included in Rate Adjustment]]=0,0,IF('Facility Info Input'!$F$11&lt;=0,0,P298*'Facility Info Input'!$F$11)),0)</f>
        <v>0</v>
      </c>
      <c r="S298" s="32">
        <f>IFERROR(IF(StaffPayroll[[#This Row],[Annual Cost of Wage Increase included in Rate Adjustment]]=0,0,IF('Facility Info Input'!$F$12&lt;=0,0,P298*'Facility Info Input'!$F$12)),0)</f>
        <v>0</v>
      </c>
      <c r="T298" s="32">
        <f t="shared" si="8"/>
        <v>0</v>
      </c>
      <c r="U298" s="33">
        <f t="shared" si="9"/>
        <v>0</v>
      </c>
    </row>
    <row r="299" spans="1:21">
      <c r="A299" s="76"/>
      <c r="B299" s="77"/>
      <c r="C299" s="81"/>
      <c r="D299" s="82"/>
      <c r="E299" s="82"/>
      <c r="F299" s="83"/>
      <c r="G299" s="84"/>
      <c r="H299" s="85"/>
      <c r="I299" s="71" t="e">
        <f>#REF!&amp;" "&amp;StaffPayroll[[#This Row],[Employee ID Number / Code]]</f>
        <v>#REF!</v>
      </c>
      <c r="J299" s="71" t="str">
        <f>_xlfn.IFNA(VLOOKUP(StaffPayroll[[#This Row],[Position / Title]],Lists!A:C,3,FALSE),"")</f>
        <v/>
      </c>
      <c r="K299" s="71">
        <f>StaffPayroll[[#This Row],[Payroll Period Ends Date (Minimum two months)]]-StaffPayroll[[#This Row],[Payroll Period Begins Date        (Must start after 6/1/2025)]]+1</f>
        <v>1</v>
      </c>
      <c r="L299" s="38">
        <f>IFERROR(IF(VLOOKUP(J299,'Facility Info Input'!$B$25:$D$34,3,FALSE)="",1,VLOOKUP(J299,'Facility Info Input'!$B$25:$D$34,3,FALSE)),0)</f>
        <v>0</v>
      </c>
      <c r="M299" s="22" t="str">
        <f>IF(StaffPayroll[[#This Row],[Employee ID Number / Code]]="","",IF(StaffPayroll[[#This Row],[Position / Title]]="","",VLOOKUP(StaffPayroll[[#This Row],[Position / Title]],Lists!A:C,2,FALSE)))</f>
        <v/>
      </c>
      <c r="N299" s="22">
        <f>IF(C299="",0,StaffPayroll[[#This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29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299" s="31">
        <f>IF(StaffPayroll[[#This Row],[Hourly WSB  Wage Minimum]]="",0,StaffPayroll[[#This Row],[Annual NF Wage Costs after WSB Minimum]]-StaffPayroll[[#This Row],[Annual NF Wage Costs before WSB Minimum]])</f>
        <v>0</v>
      </c>
      <c r="Q299" s="31">
        <f>IFERROR(IF(StaffPayroll[[#This Row],[Annual Cost of Wage Increase included in Rate Adjustment]]=0,0,P299*'Facility Info Input'!$F$10),0)</f>
        <v>0</v>
      </c>
      <c r="R299" s="32">
        <f>IFERROR(IF(StaffPayroll[[#This Row],[Annual Cost of Wage Increase included in Rate Adjustment]]=0,0,IF('Facility Info Input'!$F$11&lt;=0,0,P299*'Facility Info Input'!$F$11)),0)</f>
        <v>0</v>
      </c>
      <c r="S299" s="32">
        <f>IFERROR(IF(StaffPayroll[[#This Row],[Annual Cost of Wage Increase included in Rate Adjustment]]=0,0,IF('Facility Info Input'!$F$12&lt;=0,0,P299*'Facility Info Input'!$F$12)),0)</f>
        <v>0</v>
      </c>
      <c r="T299" s="32">
        <f t="shared" si="8"/>
        <v>0</v>
      </c>
      <c r="U299" s="33">
        <f t="shared" si="9"/>
        <v>0</v>
      </c>
    </row>
    <row r="300" spans="1:21">
      <c r="A300" s="76"/>
      <c r="B300" s="77"/>
      <c r="C300" s="81"/>
      <c r="D300" s="82"/>
      <c r="E300" s="82"/>
      <c r="F300" s="83"/>
      <c r="G300" s="84"/>
      <c r="H300" s="85"/>
      <c r="I300" s="71" t="e">
        <f>#REF!&amp;" "&amp;StaffPayroll[[#This Row],[Employee ID Number / Code]]</f>
        <v>#REF!</v>
      </c>
      <c r="J300" s="71" t="str">
        <f>_xlfn.IFNA(VLOOKUP(StaffPayroll[[#This Row],[Position / Title]],Lists!A:C,3,FALSE),"")</f>
        <v/>
      </c>
      <c r="K300" s="71">
        <f>StaffPayroll[[#This Row],[Payroll Period Ends Date (Minimum two months)]]-StaffPayroll[[#This Row],[Payroll Period Begins Date        (Must start after 6/1/2025)]]+1</f>
        <v>1</v>
      </c>
      <c r="L300" s="38">
        <f>IFERROR(IF(VLOOKUP(J300,'Facility Info Input'!$B$25:$D$34,3,FALSE)="",1,VLOOKUP(J300,'Facility Info Input'!$B$25:$D$34,3,FALSE)),0)</f>
        <v>0</v>
      </c>
      <c r="M300" s="22" t="str">
        <f>IF(StaffPayroll[[#This Row],[Employee ID Number / Code]]="","",IF(StaffPayroll[[#This Row],[Position / Title]]="","",VLOOKUP(StaffPayroll[[#This Row],[Position / Title]],Lists!A:C,2,FALSE)))</f>
        <v/>
      </c>
      <c r="N300" s="22">
        <f>IF(C300="",0,StaffPayroll[[#This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0" s="31">
        <f>IF(StaffPayroll[[#This Row],[Hourly WSB  Wage Minimum]]="",0,StaffPayroll[[#This Row],[Annual NF Wage Costs after WSB Minimum]]-StaffPayroll[[#This Row],[Annual NF Wage Costs before WSB Minimum]])</f>
        <v>0</v>
      </c>
      <c r="Q300" s="31">
        <f>IFERROR(IF(StaffPayroll[[#This Row],[Annual Cost of Wage Increase included in Rate Adjustment]]=0,0,P300*'Facility Info Input'!$F$10),0)</f>
        <v>0</v>
      </c>
      <c r="R300" s="32">
        <f>IFERROR(IF(StaffPayroll[[#This Row],[Annual Cost of Wage Increase included in Rate Adjustment]]=0,0,IF('Facility Info Input'!$F$11&lt;=0,0,P300*'Facility Info Input'!$F$11)),0)</f>
        <v>0</v>
      </c>
      <c r="S300" s="32">
        <f>IFERROR(IF(StaffPayroll[[#This Row],[Annual Cost of Wage Increase included in Rate Adjustment]]=0,0,IF('Facility Info Input'!$F$12&lt;=0,0,P300*'Facility Info Input'!$F$12)),0)</f>
        <v>0</v>
      </c>
      <c r="T300" s="32">
        <f t="shared" si="8"/>
        <v>0</v>
      </c>
      <c r="U300" s="33">
        <f t="shared" si="9"/>
        <v>0</v>
      </c>
    </row>
    <row r="301" spans="1:21">
      <c r="A301" s="76"/>
      <c r="B301" s="77"/>
      <c r="C301" s="81"/>
      <c r="D301" s="82"/>
      <c r="E301" s="82"/>
      <c r="F301" s="83"/>
      <c r="G301" s="84"/>
      <c r="H301" s="85"/>
      <c r="I301" s="71" t="e">
        <f>#REF!&amp;" "&amp;StaffPayroll[[#This Row],[Employee ID Number / Code]]</f>
        <v>#REF!</v>
      </c>
      <c r="J301" s="71" t="str">
        <f>_xlfn.IFNA(VLOOKUP(StaffPayroll[[#This Row],[Position / Title]],Lists!A:C,3,FALSE),"")</f>
        <v/>
      </c>
      <c r="K301" s="71">
        <f>StaffPayroll[[#This Row],[Payroll Period Ends Date (Minimum two months)]]-StaffPayroll[[#This Row],[Payroll Period Begins Date        (Must start after 6/1/2025)]]+1</f>
        <v>1</v>
      </c>
      <c r="L301" s="38">
        <f>IFERROR(IF(VLOOKUP(J301,'Facility Info Input'!$B$25:$D$34,3,FALSE)="",1,VLOOKUP(J301,'Facility Info Input'!$B$25:$D$34,3,FALSE)),0)</f>
        <v>0</v>
      </c>
      <c r="M301" s="22" t="str">
        <f>IF(StaffPayroll[[#This Row],[Employee ID Number / Code]]="","",IF(StaffPayroll[[#This Row],[Position / Title]]="","",VLOOKUP(StaffPayroll[[#This Row],[Position / Title]],Lists!A:C,2,FALSE)))</f>
        <v/>
      </c>
      <c r="N301" s="22">
        <f>IF(C301="",0,StaffPayroll[[#This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1" s="31">
        <f>IF(StaffPayroll[[#This Row],[Hourly WSB  Wage Minimum]]="",0,StaffPayroll[[#This Row],[Annual NF Wage Costs after WSB Minimum]]-StaffPayroll[[#This Row],[Annual NF Wage Costs before WSB Minimum]])</f>
        <v>0</v>
      </c>
      <c r="Q301" s="31">
        <f>IFERROR(IF(StaffPayroll[[#This Row],[Annual Cost of Wage Increase included in Rate Adjustment]]=0,0,P301*'Facility Info Input'!$F$10),0)</f>
        <v>0</v>
      </c>
      <c r="R301" s="32">
        <f>IFERROR(IF(StaffPayroll[[#This Row],[Annual Cost of Wage Increase included in Rate Adjustment]]=0,0,IF('Facility Info Input'!$F$11&lt;=0,0,P301*'Facility Info Input'!$F$11)),0)</f>
        <v>0</v>
      </c>
      <c r="S301" s="32">
        <f>IFERROR(IF(StaffPayroll[[#This Row],[Annual Cost of Wage Increase included in Rate Adjustment]]=0,0,IF('Facility Info Input'!$F$12&lt;=0,0,P301*'Facility Info Input'!$F$12)),0)</f>
        <v>0</v>
      </c>
      <c r="T301" s="32">
        <f t="shared" si="8"/>
        <v>0</v>
      </c>
      <c r="U301" s="33">
        <f t="shared" si="9"/>
        <v>0</v>
      </c>
    </row>
    <row r="302" spans="1:21">
      <c r="A302" s="76"/>
      <c r="B302" s="77"/>
      <c r="C302" s="81"/>
      <c r="D302" s="82"/>
      <c r="E302" s="82"/>
      <c r="F302" s="83"/>
      <c r="G302" s="84"/>
      <c r="H302" s="85"/>
      <c r="I302" s="71" t="e">
        <f>#REF!&amp;" "&amp;StaffPayroll[[#This Row],[Employee ID Number / Code]]</f>
        <v>#REF!</v>
      </c>
      <c r="J302" s="71" t="str">
        <f>_xlfn.IFNA(VLOOKUP(StaffPayroll[[#This Row],[Position / Title]],Lists!A:C,3,FALSE),"")</f>
        <v/>
      </c>
      <c r="K302" s="71">
        <f>StaffPayroll[[#This Row],[Payroll Period Ends Date (Minimum two months)]]-StaffPayroll[[#This Row],[Payroll Period Begins Date        (Must start after 6/1/2025)]]+1</f>
        <v>1</v>
      </c>
      <c r="L302" s="38">
        <f>IFERROR(IF(VLOOKUP(J302,'Facility Info Input'!$B$25:$D$34,3,FALSE)="",1,VLOOKUP(J302,'Facility Info Input'!$B$25:$D$34,3,FALSE)),0)</f>
        <v>0</v>
      </c>
      <c r="M302" s="22" t="str">
        <f>IF(StaffPayroll[[#This Row],[Employee ID Number / Code]]="","",IF(StaffPayroll[[#This Row],[Position / Title]]="","",VLOOKUP(StaffPayroll[[#This Row],[Position / Title]],Lists!A:C,2,FALSE)))</f>
        <v/>
      </c>
      <c r="N302" s="22">
        <f>IF(C302="",0,StaffPayroll[[#This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2" s="31">
        <f>IF(StaffPayroll[[#This Row],[Hourly WSB  Wage Minimum]]="",0,StaffPayroll[[#This Row],[Annual NF Wage Costs after WSB Minimum]]-StaffPayroll[[#This Row],[Annual NF Wage Costs before WSB Minimum]])</f>
        <v>0</v>
      </c>
      <c r="Q302" s="31">
        <f>IFERROR(IF(StaffPayroll[[#This Row],[Annual Cost of Wage Increase included in Rate Adjustment]]=0,0,P302*'Facility Info Input'!$F$10),0)</f>
        <v>0</v>
      </c>
      <c r="R302" s="32">
        <f>IFERROR(IF(StaffPayroll[[#This Row],[Annual Cost of Wage Increase included in Rate Adjustment]]=0,0,IF('Facility Info Input'!$F$11&lt;=0,0,P302*'Facility Info Input'!$F$11)),0)</f>
        <v>0</v>
      </c>
      <c r="S302" s="32">
        <f>IFERROR(IF(StaffPayroll[[#This Row],[Annual Cost of Wage Increase included in Rate Adjustment]]=0,0,IF('Facility Info Input'!$F$12&lt;=0,0,P302*'Facility Info Input'!$F$12)),0)</f>
        <v>0</v>
      </c>
      <c r="T302" s="32">
        <f t="shared" si="8"/>
        <v>0</v>
      </c>
      <c r="U302" s="33">
        <f t="shared" si="9"/>
        <v>0</v>
      </c>
    </row>
    <row r="303" spans="1:21">
      <c r="A303" s="76"/>
      <c r="B303" s="77"/>
      <c r="C303" s="81"/>
      <c r="D303" s="82"/>
      <c r="E303" s="82"/>
      <c r="F303" s="83"/>
      <c r="G303" s="84"/>
      <c r="H303" s="85"/>
      <c r="I303" s="71" t="e">
        <f>#REF!&amp;" "&amp;StaffPayroll[[#This Row],[Employee ID Number / Code]]</f>
        <v>#REF!</v>
      </c>
      <c r="J303" s="71" t="str">
        <f>_xlfn.IFNA(VLOOKUP(StaffPayroll[[#This Row],[Position / Title]],Lists!A:C,3,FALSE),"")</f>
        <v/>
      </c>
      <c r="K303" s="71">
        <f>StaffPayroll[[#This Row],[Payroll Period Ends Date (Minimum two months)]]-StaffPayroll[[#This Row],[Payroll Period Begins Date        (Must start after 6/1/2025)]]+1</f>
        <v>1</v>
      </c>
      <c r="L303" s="38">
        <f>IFERROR(IF(VLOOKUP(J303,'Facility Info Input'!$B$25:$D$34,3,FALSE)="",1,VLOOKUP(J303,'Facility Info Input'!$B$25:$D$34,3,FALSE)),0)</f>
        <v>0</v>
      </c>
      <c r="M303" s="22" t="str">
        <f>IF(StaffPayroll[[#This Row],[Employee ID Number / Code]]="","",IF(StaffPayroll[[#This Row],[Position / Title]]="","",VLOOKUP(StaffPayroll[[#This Row],[Position / Title]],Lists!A:C,2,FALSE)))</f>
        <v/>
      </c>
      <c r="N303" s="22">
        <f>IF(C303="",0,StaffPayroll[[#This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3" s="31">
        <f>IF(StaffPayroll[[#This Row],[Hourly WSB  Wage Minimum]]="",0,StaffPayroll[[#This Row],[Annual NF Wage Costs after WSB Minimum]]-StaffPayroll[[#This Row],[Annual NF Wage Costs before WSB Minimum]])</f>
        <v>0</v>
      </c>
      <c r="Q303" s="31">
        <f>IFERROR(IF(StaffPayroll[[#This Row],[Annual Cost of Wage Increase included in Rate Adjustment]]=0,0,P303*'Facility Info Input'!$F$10),0)</f>
        <v>0</v>
      </c>
      <c r="R303" s="32">
        <f>IFERROR(IF(StaffPayroll[[#This Row],[Annual Cost of Wage Increase included in Rate Adjustment]]=0,0,IF('Facility Info Input'!$F$11&lt;=0,0,P303*'Facility Info Input'!$F$11)),0)</f>
        <v>0</v>
      </c>
      <c r="S303" s="32">
        <f>IFERROR(IF(StaffPayroll[[#This Row],[Annual Cost of Wage Increase included in Rate Adjustment]]=0,0,IF('Facility Info Input'!$F$12&lt;=0,0,P303*'Facility Info Input'!$F$12)),0)</f>
        <v>0</v>
      </c>
      <c r="T303" s="32">
        <f t="shared" si="8"/>
        <v>0</v>
      </c>
      <c r="U303" s="33">
        <f t="shared" si="9"/>
        <v>0</v>
      </c>
    </row>
    <row r="304" spans="1:21">
      <c r="A304" s="76"/>
      <c r="B304" s="77"/>
      <c r="C304" s="81"/>
      <c r="D304" s="82"/>
      <c r="E304" s="82"/>
      <c r="F304" s="83"/>
      <c r="G304" s="84"/>
      <c r="H304" s="85"/>
      <c r="I304" s="71" t="e">
        <f>#REF!&amp;" "&amp;StaffPayroll[[#This Row],[Employee ID Number / Code]]</f>
        <v>#REF!</v>
      </c>
      <c r="J304" s="71" t="str">
        <f>_xlfn.IFNA(VLOOKUP(StaffPayroll[[#This Row],[Position / Title]],Lists!A:C,3,FALSE),"")</f>
        <v/>
      </c>
      <c r="K304" s="71">
        <f>StaffPayroll[[#This Row],[Payroll Period Ends Date (Minimum two months)]]-StaffPayroll[[#This Row],[Payroll Period Begins Date        (Must start after 6/1/2025)]]+1</f>
        <v>1</v>
      </c>
      <c r="L304" s="38">
        <f>IFERROR(IF(VLOOKUP(J304,'Facility Info Input'!$B$25:$D$34,3,FALSE)="",1,VLOOKUP(J304,'Facility Info Input'!$B$25:$D$34,3,FALSE)),0)</f>
        <v>0</v>
      </c>
      <c r="M304" s="22" t="str">
        <f>IF(StaffPayroll[[#This Row],[Employee ID Number / Code]]="","",IF(StaffPayroll[[#This Row],[Position / Title]]="","",VLOOKUP(StaffPayroll[[#This Row],[Position / Title]],Lists!A:C,2,FALSE)))</f>
        <v/>
      </c>
      <c r="N304" s="22">
        <f>IF(C304="",0,StaffPayroll[[#This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4" s="31">
        <f>IF(StaffPayroll[[#This Row],[Hourly WSB  Wage Minimum]]="",0,StaffPayroll[[#This Row],[Annual NF Wage Costs after WSB Minimum]]-StaffPayroll[[#This Row],[Annual NF Wage Costs before WSB Minimum]])</f>
        <v>0</v>
      </c>
      <c r="Q304" s="31">
        <f>IFERROR(IF(StaffPayroll[[#This Row],[Annual Cost of Wage Increase included in Rate Adjustment]]=0,0,P304*'Facility Info Input'!$F$10),0)</f>
        <v>0</v>
      </c>
      <c r="R304" s="32">
        <f>IFERROR(IF(StaffPayroll[[#This Row],[Annual Cost of Wage Increase included in Rate Adjustment]]=0,0,IF('Facility Info Input'!$F$11&lt;=0,0,P304*'Facility Info Input'!$F$11)),0)</f>
        <v>0</v>
      </c>
      <c r="S304" s="32">
        <f>IFERROR(IF(StaffPayroll[[#This Row],[Annual Cost of Wage Increase included in Rate Adjustment]]=0,0,IF('Facility Info Input'!$F$12&lt;=0,0,P304*'Facility Info Input'!$F$12)),0)</f>
        <v>0</v>
      </c>
      <c r="T304" s="32">
        <f t="shared" si="8"/>
        <v>0</v>
      </c>
      <c r="U304" s="33">
        <f t="shared" si="9"/>
        <v>0</v>
      </c>
    </row>
    <row r="305" spans="1:21">
      <c r="A305" s="76"/>
      <c r="B305" s="77"/>
      <c r="C305" s="81"/>
      <c r="D305" s="82"/>
      <c r="E305" s="82"/>
      <c r="F305" s="83"/>
      <c r="G305" s="84"/>
      <c r="H305" s="85"/>
      <c r="I305" s="71" t="e">
        <f>#REF!&amp;" "&amp;StaffPayroll[[#This Row],[Employee ID Number / Code]]</f>
        <v>#REF!</v>
      </c>
      <c r="J305" s="71" t="str">
        <f>_xlfn.IFNA(VLOOKUP(StaffPayroll[[#This Row],[Position / Title]],Lists!A:C,3,FALSE),"")</f>
        <v/>
      </c>
      <c r="K305" s="71">
        <f>StaffPayroll[[#This Row],[Payroll Period Ends Date (Minimum two months)]]-StaffPayroll[[#This Row],[Payroll Period Begins Date        (Must start after 6/1/2025)]]+1</f>
        <v>1</v>
      </c>
      <c r="L305" s="38">
        <f>IFERROR(IF(VLOOKUP(J305,'Facility Info Input'!$B$25:$D$34,3,FALSE)="",1,VLOOKUP(J305,'Facility Info Input'!$B$25:$D$34,3,FALSE)),0)</f>
        <v>0</v>
      </c>
      <c r="M305" s="22" t="str">
        <f>IF(StaffPayroll[[#This Row],[Employee ID Number / Code]]="","",IF(StaffPayroll[[#This Row],[Position / Title]]="","",VLOOKUP(StaffPayroll[[#This Row],[Position / Title]],Lists!A:C,2,FALSE)))</f>
        <v/>
      </c>
      <c r="N305" s="22">
        <f>IF(C305="",0,StaffPayroll[[#This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5" s="31">
        <f>IF(StaffPayroll[[#This Row],[Hourly WSB  Wage Minimum]]="",0,StaffPayroll[[#This Row],[Annual NF Wage Costs after WSB Minimum]]-StaffPayroll[[#This Row],[Annual NF Wage Costs before WSB Minimum]])</f>
        <v>0</v>
      </c>
      <c r="Q305" s="31">
        <f>IFERROR(IF(StaffPayroll[[#This Row],[Annual Cost of Wage Increase included in Rate Adjustment]]=0,0,P305*'Facility Info Input'!$F$10),0)</f>
        <v>0</v>
      </c>
      <c r="R305" s="32">
        <f>IFERROR(IF(StaffPayroll[[#This Row],[Annual Cost of Wage Increase included in Rate Adjustment]]=0,0,IF('Facility Info Input'!$F$11&lt;=0,0,P305*'Facility Info Input'!$F$11)),0)</f>
        <v>0</v>
      </c>
      <c r="S305" s="32">
        <f>IFERROR(IF(StaffPayroll[[#This Row],[Annual Cost of Wage Increase included in Rate Adjustment]]=0,0,IF('Facility Info Input'!$F$12&lt;=0,0,P305*'Facility Info Input'!$F$12)),0)</f>
        <v>0</v>
      </c>
      <c r="T305" s="32">
        <f t="shared" si="8"/>
        <v>0</v>
      </c>
      <c r="U305" s="33">
        <f t="shared" si="9"/>
        <v>0</v>
      </c>
    </row>
    <row r="306" spans="1:21">
      <c r="A306" s="76"/>
      <c r="B306" s="77"/>
      <c r="C306" s="81"/>
      <c r="D306" s="82"/>
      <c r="E306" s="82"/>
      <c r="F306" s="83"/>
      <c r="G306" s="84"/>
      <c r="H306" s="85"/>
      <c r="I306" s="71" t="e">
        <f>#REF!&amp;" "&amp;StaffPayroll[[#This Row],[Employee ID Number / Code]]</f>
        <v>#REF!</v>
      </c>
      <c r="J306" s="71" t="str">
        <f>_xlfn.IFNA(VLOOKUP(StaffPayroll[[#This Row],[Position / Title]],Lists!A:C,3,FALSE),"")</f>
        <v/>
      </c>
      <c r="K306" s="71">
        <f>StaffPayroll[[#This Row],[Payroll Period Ends Date (Minimum two months)]]-StaffPayroll[[#This Row],[Payroll Period Begins Date        (Must start after 6/1/2025)]]+1</f>
        <v>1</v>
      </c>
      <c r="L306" s="38">
        <f>IFERROR(IF(VLOOKUP(J306,'Facility Info Input'!$B$25:$D$34,3,FALSE)="",1,VLOOKUP(J306,'Facility Info Input'!$B$25:$D$34,3,FALSE)),0)</f>
        <v>0</v>
      </c>
      <c r="M306" s="22" t="str">
        <f>IF(StaffPayroll[[#This Row],[Employee ID Number / Code]]="","",IF(StaffPayroll[[#This Row],[Position / Title]]="","",VLOOKUP(StaffPayroll[[#This Row],[Position / Title]],Lists!A:C,2,FALSE)))</f>
        <v/>
      </c>
      <c r="N306" s="22">
        <f>IF(C306="",0,StaffPayroll[[#This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6" s="31">
        <f>IF(StaffPayroll[[#This Row],[Hourly WSB  Wage Minimum]]="",0,StaffPayroll[[#This Row],[Annual NF Wage Costs after WSB Minimum]]-StaffPayroll[[#This Row],[Annual NF Wage Costs before WSB Minimum]])</f>
        <v>0</v>
      </c>
      <c r="Q306" s="31">
        <f>IFERROR(IF(StaffPayroll[[#This Row],[Annual Cost of Wage Increase included in Rate Adjustment]]=0,0,P306*'Facility Info Input'!$F$10),0)</f>
        <v>0</v>
      </c>
      <c r="R306" s="32">
        <f>IFERROR(IF(StaffPayroll[[#This Row],[Annual Cost of Wage Increase included in Rate Adjustment]]=0,0,IF('Facility Info Input'!$F$11&lt;=0,0,P306*'Facility Info Input'!$F$11)),0)</f>
        <v>0</v>
      </c>
      <c r="S306" s="32">
        <f>IFERROR(IF(StaffPayroll[[#This Row],[Annual Cost of Wage Increase included in Rate Adjustment]]=0,0,IF('Facility Info Input'!$F$12&lt;=0,0,P306*'Facility Info Input'!$F$12)),0)</f>
        <v>0</v>
      </c>
      <c r="T306" s="32">
        <f t="shared" si="8"/>
        <v>0</v>
      </c>
      <c r="U306" s="33">
        <f t="shared" si="9"/>
        <v>0</v>
      </c>
    </row>
    <row r="307" spans="1:21">
      <c r="A307" s="76"/>
      <c r="B307" s="77"/>
      <c r="C307" s="81"/>
      <c r="D307" s="82"/>
      <c r="E307" s="82"/>
      <c r="F307" s="83"/>
      <c r="G307" s="84"/>
      <c r="H307" s="85"/>
      <c r="I307" s="71" t="e">
        <f>#REF!&amp;" "&amp;StaffPayroll[[#This Row],[Employee ID Number / Code]]</f>
        <v>#REF!</v>
      </c>
      <c r="J307" s="71" t="str">
        <f>_xlfn.IFNA(VLOOKUP(StaffPayroll[[#This Row],[Position / Title]],Lists!A:C,3,FALSE),"")</f>
        <v/>
      </c>
      <c r="K307" s="71">
        <f>StaffPayroll[[#This Row],[Payroll Period Ends Date (Minimum two months)]]-StaffPayroll[[#This Row],[Payroll Period Begins Date        (Must start after 6/1/2025)]]+1</f>
        <v>1</v>
      </c>
      <c r="L307" s="38">
        <f>IFERROR(IF(VLOOKUP(J307,'Facility Info Input'!$B$25:$D$34,3,FALSE)="",1,VLOOKUP(J307,'Facility Info Input'!$B$25:$D$34,3,FALSE)),0)</f>
        <v>0</v>
      </c>
      <c r="M307" s="22" t="str">
        <f>IF(StaffPayroll[[#This Row],[Employee ID Number / Code]]="","",IF(StaffPayroll[[#This Row],[Position / Title]]="","",VLOOKUP(StaffPayroll[[#This Row],[Position / Title]],Lists!A:C,2,FALSE)))</f>
        <v/>
      </c>
      <c r="N307" s="22">
        <f>IF(C307="",0,StaffPayroll[[#This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7" s="31">
        <f>IF(StaffPayroll[[#This Row],[Hourly WSB  Wage Minimum]]="",0,StaffPayroll[[#This Row],[Annual NF Wage Costs after WSB Minimum]]-StaffPayroll[[#This Row],[Annual NF Wage Costs before WSB Minimum]])</f>
        <v>0</v>
      </c>
      <c r="Q307" s="31">
        <f>IFERROR(IF(StaffPayroll[[#This Row],[Annual Cost of Wage Increase included in Rate Adjustment]]=0,0,P307*'Facility Info Input'!$F$10),0)</f>
        <v>0</v>
      </c>
      <c r="R307" s="32">
        <f>IFERROR(IF(StaffPayroll[[#This Row],[Annual Cost of Wage Increase included in Rate Adjustment]]=0,0,IF('Facility Info Input'!$F$11&lt;=0,0,P307*'Facility Info Input'!$F$11)),0)</f>
        <v>0</v>
      </c>
      <c r="S307" s="32">
        <f>IFERROR(IF(StaffPayroll[[#This Row],[Annual Cost of Wage Increase included in Rate Adjustment]]=0,0,IF('Facility Info Input'!$F$12&lt;=0,0,P307*'Facility Info Input'!$F$12)),0)</f>
        <v>0</v>
      </c>
      <c r="T307" s="32">
        <f t="shared" si="8"/>
        <v>0</v>
      </c>
      <c r="U307" s="33">
        <f t="shared" si="9"/>
        <v>0</v>
      </c>
    </row>
    <row r="308" spans="1:21">
      <c r="A308" s="76"/>
      <c r="B308" s="77"/>
      <c r="C308" s="81"/>
      <c r="D308" s="82"/>
      <c r="E308" s="82"/>
      <c r="F308" s="83"/>
      <c r="G308" s="84"/>
      <c r="H308" s="85"/>
      <c r="I308" s="71" t="e">
        <f>#REF!&amp;" "&amp;StaffPayroll[[#This Row],[Employee ID Number / Code]]</f>
        <v>#REF!</v>
      </c>
      <c r="J308" s="71" t="str">
        <f>_xlfn.IFNA(VLOOKUP(StaffPayroll[[#This Row],[Position / Title]],Lists!A:C,3,FALSE),"")</f>
        <v/>
      </c>
      <c r="K308" s="71">
        <f>StaffPayroll[[#This Row],[Payroll Period Ends Date (Minimum two months)]]-StaffPayroll[[#This Row],[Payroll Period Begins Date        (Must start after 6/1/2025)]]+1</f>
        <v>1</v>
      </c>
      <c r="L308" s="38">
        <f>IFERROR(IF(VLOOKUP(J308,'Facility Info Input'!$B$25:$D$34,3,FALSE)="",1,VLOOKUP(J308,'Facility Info Input'!$B$25:$D$34,3,FALSE)),0)</f>
        <v>0</v>
      </c>
      <c r="M308" s="22" t="str">
        <f>IF(StaffPayroll[[#This Row],[Employee ID Number / Code]]="","",IF(StaffPayroll[[#This Row],[Position / Title]]="","",VLOOKUP(StaffPayroll[[#This Row],[Position / Title]],Lists!A:C,2,FALSE)))</f>
        <v/>
      </c>
      <c r="N308" s="22">
        <f>IF(C308="",0,StaffPayroll[[#This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8" s="31">
        <f>IF(StaffPayroll[[#This Row],[Hourly WSB  Wage Minimum]]="",0,StaffPayroll[[#This Row],[Annual NF Wage Costs after WSB Minimum]]-StaffPayroll[[#This Row],[Annual NF Wage Costs before WSB Minimum]])</f>
        <v>0</v>
      </c>
      <c r="Q308" s="31">
        <f>IFERROR(IF(StaffPayroll[[#This Row],[Annual Cost of Wage Increase included in Rate Adjustment]]=0,0,P308*'Facility Info Input'!$F$10),0)</f>
        <v>0</v>
      </c>
      <c r="R308" s="32">
        <f>IFERROR(IF(StaffPayroll[[#This Row],[Annual Cost of Wage Increase included in Rate Adjustment]]=0,0,IF('Facility Info Input'!$F$11&lt;=0,0,P308*'Facility Info Input'!$F$11)),0)</f>
        <v>0</v>
      </c>
      <c r="S308" s="32">
        <f>IFERROR(IF(StaffPayroll[[#This Row],[Annual Cost of Wage Increase included in Rate Adjustment]]=0,0,IF('Facility Info Input'!$F$12&lt;=0,0,P308*'Facility Info Input'!$F$12)),0)</f>
        <v>0</v>
      </c>
      <c r="T308" s="32">
        <f t="shared" si="8"/>
        <v>0</v>
      </c>
      <c r="U308" s="33">
        <f t="shared" si="9"/>
        <v>0</v>
      </c>
    </row>
    <row r="309" spans="1:21">
      <c r="A309" s="76"/>
      <c r="B309" s="77"/>
      <c r="C309" s="81"/>
      <c r="D309" s="82"/>
      <c r="E309" s="82"/>
      <c r="F309" s="83"/>
      <c r="G309" s="84"/>
      <c r="H309" s="85"/>
      <c r="I309" s="71" t="e">
        <f>#REF!&amp;" "&amp;StaffPayroll[[#This Row],[Employee ID Number / Code]]</f>
        <v>#REF!</v>
      </c>
      <c r="J309" s="71" t="str">
        <f>_xlfn.IFNA(VLOOKUP(StaffPayroll[[#This Row],[Position / Title]],Lists!A:C,3,FALSE),"")</f>
        <v/>
      </c>
      <c r="K309" s="71">
        <f>StaffPayroll[[#This Row],[Payroll Period Ends Date (Minimum two months)]]-StaffPayroll[[#This Row],[Payroll Period Begins Date        (Must start after 6/1/2025)]]+1</f>
        <v>1</v>
      </c>
      <c r="L309" s="38">
        <f>IFERROR(IF(VLOOKUP(J309,'Facility Info Input'!$B$25:$D$34,3,FALSE)="",1,VLOOKUP(J309,'Facility Info Input'!$B$25:$D$34,3,FALSE)),0)</f>
        <v>0</v>
      </c>
      <c r="M309" s="22" t="str">
        <f>IF(StaffPayroll[[#This Row],[Employee ID Number / Code]]="","",IF(StaffPayroll[[#This Row],[Position / Title]]="","",VLOOKUP(StaffPayroll[[#This Row],[Position / Title]],Lists!A:C,2,FALSE)))</f>
        <v/>
      </c>
      <c r="N309" s="22">
        <f>IF(C309="",0,StaffPayroll[[#This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0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09" s="31">
        <f>IF(StaffPayroll[[#This Row],[Hourly WSB  Wage Minimum]]="",0,StaffPayroll[[#This Row],[Annual NF Wage Costs after WSB Minimum]]-StaffPayroll[[#This Row],[Annual NF Wage Costs before WSB Minimum]])</f>
        <v>0</v>
      </c>
      <c r="Q309" s="31">
        <f>IFERROR(IF(StaffPayroll[[#This Row],[Annual Cost of Wage Increase included in Rate Adjustment]]=0,0,P309*'Facility Info Input'!$F$10),0)</f>
        <v>0</v>
      </c>
      <c r="R309" s="32">
        <f>IFERROR(IF(StaffPayroll[[#This Row],[Annual Cost of Wage Increase included in Rate Adjustment]]=0,0,IF('Facility Info Input'!$F$11&lt;=0,0,P309*'Facility Info Input'!$F$11)),0)</f>
        <v>0</v>
      </c>
      <c r="S309" s="32">
        <f>IFERROR(IF(StaffPayroll[[#This Row],[Annual Cost of Wage Increase included in Rate Adjustment]]=0,0,IF('Facility Info Input'!$F$12&lt;=0,0,P309*'Facility Info Input'!$F$12)),0)</f>
        <v>0</v>
      </c>
      <c r="T309" s="32">
        <f t="shared" si="8"/>
        <v>0</v>
      </c>
      <c r="U309" s="33">
        <f t="shared" si="9"/>
        <v>0</v>
      </c>
    </row>
    <row r="310" spans="1:21">
      <c r="A310" s="76"/>
      <c r="B310" s="77"/>
      <c r="C310" s="81"/>
      <c r="D310" s="82"/>
      <c r="E310" s="82"/>
      <c r="F310" s="83"/>
      <c r="G310" s="84"/>
      <c r="H310" s="85"/>
      <c r="I310" s="71" t="e">
        <f>#REF!&amp;" "&amp;StaffPayroll[[#This Row],[Employee ID Number / Code]]</f>
        <v>#REF!</v>
      </c>
      <c r="J310" s="71" t="str">
        <f>_xlfn.IFNA(VLOOKUP(StaffPayroll[[#This Row],[Position / Title]],Lists!A:C,3,FALSE),"")</f>
        <v/>
      </c>
      <c r="K310" s="71">
        <f>StaffPayroll[[#This Row],[Payroll Period Ends Date (Minimum two months)]]-StaffPayroll[[#This Row],[Payroll Period Begins Date        (Must start after 6/1/2025)]]+1</f>
        <v>1</v>
      </c>
      <c r="L310" s="38">
        <f>IFERROR(IF(VLOOKUP(J310,'Facility Info Input'!$B$25:$D$34,3,FALSE)="",1,VLOOKUP(J310,'Facility Info Input'!$B$25:$D$34,3,FALSE)),0)</f>
        <v>0</v>
      </c>
      <c r="M310" s="22" t="str">
        <f>IF(StaffPayroll[[#This Row],[Employee ID Number / Code]]="","",IF(StaffPayroll[[#This Row],[Position / Title]]="","",VLOOKUP(StaffPayroll[[#This Row],[Position / Title]],Lists!A:C,2,FALSE)))</f>
        <v/>
      </c>
      <c r="N310" s="22">
        <f>IF(C310="",0,StaffPayroll[[#This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0" s="31">
        <f>IF(StaffPayroll[[#This Row],[Hourly WSB  Wage Minimum]]="",0,StaffPayroll[[#This Row],[Annual NF Wage Costs after WSB Minimum]]-StaffPayroll[[#This Row],[Annual NF Wage Costs before WSB Minimum]])</f>
        <v>0</v>
      </c>
      <c r="Q310" s="31">
        <f>IFERROR(IF(StaffPayroll[[#This Row],[Annual Cost of Wage Increase included in Rate Adjustment]]=0,0,P310*'Facility Info Input'!$F$10),0)</f>
        <v>0</v>
      </c>
      <c r="R310" s="32">
        <f>IFERROR(IF(StaffPayroll[[#This Row],[Annual Cost of Wage Increase included in Rate Adjustment]]=0,0,IF('Facility Info Input'!$F$11&lt;=0,0,P310*'Facility Info Input'!$F$11)),0)</f>
        <v>0</v>
      </c>
      <c r="S310" s="32">
        <f>IFERROR(IF(StaffPayroll[[#This Row],[Annual Cost of Wage Increase included in Rate Adjustment]]=0,0,IF('Facility Info Input'!$F$12&lt;=0,0,P310*'Facility Info Input'!$F$12)),0)</f>
        <v>0</v>
      </c>
      <c r="T310" s="32">
        <f t="shared" si="8"/>
        <v>0</v>
      </c>
      <c r="U310" s="33">
        <f t="shared" si="9"/>
        <v>0</v>
      </c>
    </row>
    <row r="311" spans="1:21">
      <c r="A311" s="76"/>
      <c r="B311" s="77"/>
      <c r="C311" s="81"/>
      <c r="D311" s="82"/>
      <c r="E311" s="82"/>
      <c r="F311" s="83"/>
      <c r="G311" s="84"/>
      <c r="H311" s="85"/>
      <c r="I311" s="71" t="e">
        <f>#REF!&amp;" "&amp;StaffPayroll[[#This Row],[Employee ID Number / Code]]</f>
        <v>#REF!</v>
      </c>
      <c r="J311" s="71" t="str">
        <f>_xlfn.IFNA(VLOOKUP(StaffPayroll[[#This Row],[Position / Title]],Lists!A:C,3,FALSE),"")</f>
        <v/>
      </c>
      <c r="K311" s="71">
        <f>StaffPayroll[[#This Row],[Payroll Period Ends Date (Minimum two months)]]-StaffPayroll[[#This Row],[Payroll Period Begins Date        (Must start after 6/1/2025)]]+1</f>
        <v>1</v>
      </c>
      <c r="L311" s="38">
        <f>IFERROR(IF(VLOOKUP(J311,'Facility Info Input'!$B$25:$D$34,3,FALSE)="",1,VLOOKUP(J311,'Facility Info Input'!$B$25:$D$34,3,FALSE)),0)</f>
        <v>0</v>
      </c>
      <c r="M311" s="22" t="str">
        <f>IF(StaffPayroll[[#This Row],[Employee ID Number / Code]]="","",IF(StaffPayroll[[#This Row],[Position / Title]]="","",VLOOKUP(StaffPayroll[[#This Row],[Position / Title]],Lists!A:C,2,FALSE)))</f>
        <v/>
      </c>
      <c r="N311" s="22">
        <f>IF(C311="",0,StaffPayroll[[#This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1" s="31">
        <f>IF(StaffPayroll[[#This Row],[Hourly WSB  Wage Minimum]]="",0,StaffPayroll[[#This Row],[Annual NF Wage Costs after WSB Minimum]]-StaffPayroll[[#This Row],[Annual NF Wage Costs before WSB Minimum]])</f>
        <v>0</v>
      </c>
      <c r="Q311" s="31">
        <f>IFERROR(IF(StaffPayroll[[#This Row],[Annual Cost of Wage Increase included in Rate Adjustment]]=0,0,P311*'Facility Info Input'!$F$10),0)</f>
        <v>0</v>
      </c>
      <c r="R311" s="32">
        <f>IFERROR(IF(StaffPayroll[[#This Row],[Annual Cost of Wage Increase included in Rate Adjustment]]=0,0,IF('Facility Info Input'!$F$11&lt;=0,0,P311*'Facility Info Input'!$F$11)),0)</f>
        <v>0</v>
      </c>
      <c r="S311" s="32">
        <f>IFERROR(IF(StaffPayroll[[#This Row],[Annual Cost of Wage Increase included in Rate Adjustment]]=0,0,IF('Facility Info Input'!$F$12&lt;=0,0,P311*'Facility Info Input'!$F$12)),0)</f>
        <v>0</v>
      </c>
      <c r="T311" s="32">
        <f t="shared" si="8"/>
        <v>0</v>
      </c>
      <c r="U311" s="33">
        <f t="shared" si="9"/>
        <v>0</v>
      </c>
    </row>
    <row r="312" spans="1:21">
      <c r="A312" s="76"/>
      <c r="B312" s="77"/>
      <c r="C312" s="81"/>
      <c r="D312" s="82"/>
      <c r="E312" s="82"/>
      <c r="F312" s="83"/>
      <c r="G312" s="84"/>
      <c r="H312" s="85"/>
      <c r="I312" s="71" t="e">
        <f>#REF!&amp;" "&amp;StaffPayroll[[#This Row],[Employee ID Number / Code]]</f>
        <v>#REF!</v>
      </c>
      <c r="J312" s="71" t="str">
        <f>_xlfn.IFNA(VLOOKUP(StaffPayroll[[#This Row],[Position / Title]],Lists!A:C,3,FALSE),"")</f>
        <v/>
      </c>
      <c r="K312" s="71">
        <f>StaffPayroll[[#This Row],[Payroll Period Ends Date (Minimum two months)]]-StaffPayroll[[#This Row],[Payroll Period Begins Date        (Must start after 6/1/2025)]]+1</f>
        <v>1</v>
      </c>
      <c r="L312" s="38">
        <f>IFERROR(IF(VLOOKUP(J312,'Facility Info Input'!$B$25:$D$34,3,FALSE)="",1,VLOOKUP(J312,'Facility Info Input'!$B$25:$D$34,3,FALSE)),0)</f>
        <v>0</v>
      </c>
      <c r="M312" s="22" t="str">
        <f>IF(StaffPayroll[[#This Row],[Employee ID Number / Code]]="","",IF(StaffPayroll[[#This Row],[Position / Title]]="","",VLOOKUP(StaffPayroll[[#This Row],[Position / Title]],Lists!A:C,2,FALSE)))</f>
        <v/>
      </c>
      <c r="N312" s="22">
        <f>IF(C312="",0,StaffPayroll[[#This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2" s="31">
        <f>IF(StaffPayroll[[#This Row],[Hourly WSB  Wage Minimum]]="",0,StaffPayroll[[#This Row],[Annual NF Wage Costs after WSB Minimum]]-StaffPayroll[[#This Row],[Annual NF Wage Costs before WSB Minimum]])</f>
        <v>0</v>
      </c>
      <c r="Q312" s="31">
        <f>IFERROR(IF(StaffPayroll[[#This Row],[Annual Cost of Wage Increase included in Rate Adjustment]]=0,0,P312*'Facility Info Input'!$F$10),0)</f>
        <v>0</v>
      </c>
      <c r="R312" s="32">
        <f>IFERROR(IF(StaffPayroll[[#This Row],[Annual Cost of Wage Increase included in Rate Adjustment]]=0,0,IF('Facility Info Input'!$F$11&lt;=0,0,P312*'Facility Info Input'!$F$11)),0)</f>
        <v>0</v>
      </c>
      <c r="S312" s="32">
        <f>IFERROR(IF(StaffPayroll[[#This Row],[Annual Cost of Wage Increase included in Rate Adjustment]]=0,0,IF('Facility Info Input'!$F$12&lt;=0,0,P312*'Facility Info Input'!$F$12)),0)</f>
        <v>0</v>
      </c>
      <c r="T312" s="32">
        <f t="shared" si="8"/>
        <v>0</v>
      </c>
      <c r="U312" s="33">
        <f t="shared" si="9"/>
        <v>0</v>
      </c>
    </row>
    <row r="313" spans="1:21">
      <c r="A313" s="76"/>
      <c r="B313" s="77"/>
      <c r="C313" s="81"/>
      <c r="D313" s="82"/>
      <c r="E313" s="82"/>
      <c r="F313" s="83"/>
      <c r="G313" s="84"/>
      <c r="H313" s="85"/>
      <c r="I313" s="71" t="e">
        <f>#REF!&amp;" "&amp;StaffPayroll[[#This Row],[Employee ID Number / Code]]</f>
        <v>#REF!</v>
      </c>
      <c r="J313" s="71" t="str">
        <f>_xlfn.IFNA(VLOOKUP(StaffPayroll[[#This Row],[Position / Title]],Lists!A:C,3,FALSE),"")</f>
        <v/>
      </c>
      <c r="K313" s="71">
        <f>StaffPayroll[[#This Row],[Payroll Period Ends Date (Minimum two months)]]-StaffPayroll[[#This Row],[Payroll Period Begins Date        (Must start after 6/1/2025)]]+1</f>
        <v>1</v>
      </c>
      <c r="L313" s="38">
        <f>IFERROR(IF(VLOOKUP(J313,'Facility Info Input'!$B$25:$D$34,3,FALSE)="",1,VLOOKUP(J313,'Facility Info Input'!$B$25:$D$34,3,FALSE)),0)</f>
        <v>0</v>
      </c>
      <c r="M313" s="22" t="str">
        <f>IF(StaffPayroll[[#This Row],[Employee ID Number / Code]]="","",IF(StaffPayroll[[#This Row],[Position / Title]]="","",VLOOKUP(StaffPayroll[[#This Row],[Position / Title]],Lists!A:C,2,FALSE)))</f>
        <v/>
      </c>
      <c r="N313" s="22">
        <f>IF(C313="",0,StaffPayroll[[#This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3" s="31">
        <f>IF(StaffPayroll[[#This Row],[Hourly WSB  Wage Minimum]]="",0,StaffPayroll[[#This Row],[Annual NF Wage Costs after WSB Minimum]]-StaffPayroll[[#This Row],[Annual NF Wage Costs before WSB Minimum]])</f>
        <v>0</v>
      </c>
      <c r="Q313" s="31">
        <f>IFERROR(IF(StaffPayroll[[#This Row],[Annual Cost of Wage Increase included in Rate Adjustment]]=0,0,P313*'Facility Info Input'!$F$10),0)</f>
        <v>0</v>
      </c>
      <c r="R313" s="32">
        <f>IFERROR(IF(StaffPayroll[[#This Row],[Annual Cost of Wage Increase included in Rate Adjustment]]=0,0,IF('Facility Info Input'!$F$11&lt;=0,0,P313*'Facility Info Input'!$F$11)),0)</f>
        <v>0</v>
      </c>
      <c r="S313" s="32">
        <f>IFERROR(IF(StaffPayroll[[#This Row],[Annual Cost of Wage Increase included in Rate Adjustment]]=0,0,IF('Facility Info Input'!$F$12&lt;=0,0,P313*'Facility Info Input'!$F$12)),0)</f>
        <v>0</v>
      </c>
      <c r="T313" s="32">
        <f t="shared" si="8"/>
        <v>0</v>
      </c>
      <c r="U313" s="33">
        <f t="shared" si="9"/>
        <v>0</v>
      </c>
    </row>
    <row r="314" spans="1:21">
      <c r="A314" s="76"/>
      <c r="B314" s="77"/>
      <c r="C314" s="81"/>
      <c r="D314" s="82"/>
      <c r="E314" s="82"/>
      <c r="F314" s="83"/>
      <c r="G314" s="84"/>
      <c r="H314" s="85"/>
      <c r="I314" s="71" t="e">
        <f>#REF!&amp;" "&amp;StaffPayroll[[#This Row],[Employee ID Number / Code]]</f>
        <v>#REF!</v>
      </c>
      <c r="J314" s="71" t="str">
        <f>_xlfn.IFNA(VLOOKUP(StaffPayroll[[#This Row],[Position / Title]],Lists!A:C,3,FALSE),"")</f>
        <v/>
      </c>
      <c r="K314" s="71">
        <f>StaffPayroll[[#This Row],[Payroll Period Ends Date (Minimum two months)]]-StaffPayroll[[#This Row],[Payroll Period Begins Date        (Must start after 6/1/2025)]]+1</f>
        <v>1</v>
      </c>
      <c r="L314" s="38">
        <f>IFERROR(IF(VLOOKUP(J314,'Facility Info Input'!$B$25:$D$34,3,FALSE)="",1,VLOOKUP(J314,'Facility Info Input'!$B$25:$D$34,3,FALSE)),0)</f>
        <v>0</v>
      </c>
      <c r="M314" s="22" t="str">
        <f>IF(StaffPayroll[[#This Row],[Employee ID Number / Code]]="","",IF(StaffPayroll[[#This Row],[Position / Title]]="","",VLOOKUP(StaffPayroll[[#This Row],[Position / Title]],Lists!A:C,2,FALSE)))</f>
        <v/>
      </c>
      <c r="N314" s="22">
        <f>IF(C314="",0,StaffPayroll[[#This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4" s="31">
        <f>IF(StaffPayroll[[#This Row],[Hourly WSB  Wage Minimum]]="",0,StaffPayroll[[#This Row],[Annual NF Wage Costs after WSB Minimum]]-StaffPayroll[[#This Row],[Annual NF Wage Costs before WSB Minimum]])</f>
        <v>0</v>
      </c>
      <c r="Q314" s="31">
        <f>IFERROR(IF(StaffPayroll[[#This Row],[Annual Cost of Wage Increase included in Rate Adjustment]]=0,0,P314*'Facility Info Input'!$F$10),0)</f>
        <v>0</v>
      </c>
      <c r="R314" s="32">
        <f>IFERROR(IF(StaffPayroll[[#This Row],[Annual Cost of Wage Increase included in Rate Adjustment]]=0,0,IF('Facility Info Input'!$F$11&lt;=0,0,P314*'Facility Info Input'!$F$11)),0)</f>
        <v>0</v>
      </c>
      <c r="S314" s="32">
        <f>IFERROR(IF(StaffPayroll[[#This Row],[Annual Cost of Wage Increase included in Rate Adjustment]]=0,0,IF('Facility Info Input'!$F$12&lt;=0,0,P314*'Facility Info Input'!$F$12)),0)</f>
        <v>0</v>
      </c>
      <c r="T314" s="32">
        <f t="shared" si="8"/>
        <v>0</v>
      </c>
      <c r="U314" s="33">
        <f t="shared" si="9"/>
        <v>0</v>
      </c>
    </row>
    <row r="315" spans="1:21">
      <c r="A315" s="76"/>
      <c r="B315" s="77"/>
      <c r="C315" s="81"/>
      <c r="D315" s="82"/>
      <c r="E315" s="82"/>
      <c r="F315" s="83"/>
      <c r="G315" s="84"/>
      <c r="H315" s="85"/>
      <c r="I315" s="71" t="e">
        <f>#REF!&amp;" "&amp;StaffPayroll[[#This Row],[Employee ID Number / Code]]</f>
        <v>#REF!</v>
      </c>
      <c r="J315" s="71" t="str">
        <f>_xlfn.IFNA(VLOOKUP(StaffPayroll[[#This Row],[Position / Title]],Lists!A:C,3,FALSE),"")</f>
        <v/>
      </c>
      <c r="K315" s="71">
        <f>StaffPayroll[[#This Row],[Payroll Period Ends Date (Minimum two months)]]-StaffPayroll[[#This Row],[Payroll Period Begins Date        (Must start after 6/1/2025)]]+1</f>
        <v>1</v>
      </c>
      <c r="L315" s="38">
        <f>IFERROR(IF(VLOOKUP(J315,'Facility Info Input'!$B$25:$D$34,3,FALSE)="",1,VLOOKUP(J315,'Facility Info Input'!$B$25:$D$34,3,FALSE)),0)</f>
        <v>0</v>
      </c>
      <c r="M315" s="22" t="str">
        <f>IF(StaffPayroll[[#This Row],[Employee ID Number / Code]]="","",IF(StaffPayroll[[#This Row],[Position / Title]]="","",VLOOKUP(StaffPayroll[[#This Row],[Position / Title]],Lists!A:C,2,FALSE)))</f>
        <v/>
      </c>
      <c r="N315" s="22">
        <f>IF(C315="",0,StaffPayroll[[#This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5" s="31">
        <f>IF(StaffPayroll[[#This Row],[Hourly WSB  Wage Minimum]]="",0,StaffPayroll[[#This Row],[Annual NF Wage Costs after WSB Minimum]]-StaffPayroll[[#This Row],[Annual NF Wage Costs before WSB Minimum]])</f>
        <v>0</v>
      </c>
      <c r="Q315" s="31">
        <f>IFERROR(IF(StaffPayroll[[#This Row],[Annual Cost of Wage Increase included in Rate Adjustment]]=0,0,P315*'Facility Info Input'!$F$10),0)</f>
        <v>0</v>
      </c>
      <c r="R315" s="32">
        <f>IFERROR(IF(StaffPayroll[[#This Row],[Annual Cost of Wage Increase included in Rate Adjustment]]=0,0,IF('Facility Info Input'!$F$11&lt;=0,0,P315*'Facility Info Input'!$F$11)),0)</f>
        <v>0</v>
      </c>
      <c r="S315" s="32">
        <f>IFERROR(IF(StaffPayroll[[#This Row],[Annual Cost of Wage Increase included in Rate Adjustment]]=0,0,IF('Facility Info Input'!$F$12&lt;=0,0,P315*'Facility Info Input'!$F$12)),0)</f>
        <v>0</v>
      </c>
      <c r="T315" s="32">
        <f t="shared" si="8"/>
        <v>0</v>
      </c>
      <c r="U315" s="33">
        <f t="shared" si="9"/>
        <v>0</v>
      </c>
    </row>
    <row r="316" spans="1:21">
      <c r="A316" s="76"/>
      <c r="B316" s="77"/>
      <c r="C316" s="81"/>
      <c r="D316" s="82"/>
      <c r="E316" s="82"/>
      <c r="F316" s="83"/>
      <c r="G316" s="84"/>
      <c r="H316" s="85"/>
      <c r="I316" s="71" t="e">
        <f>#REF!&amp;" "&amp;StaffPayroll[[#This Row],[Employee ID Number / Code]]</f>
        <v>#REF!</v>
      </c>
      <c r="J316" s="71" t="str">
        <f>_xlfn.IFNA(VLOOKUP(StaffPayroll[[#This Row],[Position / Title]],Lists!A:C,3,FALSE),"")</f>
        <v/>
      </c>
      <c r="K316" s="71">
        <f>StaffPayroll[[#This Row],[Payroll Period Ends Date (Minimum two months)]]-StaffPayroll[[#This Row],[Payroll Period Begins Date        (Must start after 6/1/2025)]]+1</f>
        <v>1</v>
      </c>
      <c r="L316" s="38">
        <f>IFERROR(IF(VLOOKUP(J316,'Facility Info Input'!$B$25:$D$34,3,FALSE)="",1,VLOOKUP(J316,'Facility Info Input'!$B$25:$D$34,3,FALSE)),0)</f>
        <v>0</v>
      </c>
      <c r="M316" s="22" t="str">
        <f>IF(StaffPayroll[[#This Row],[Employee ID Number / Code]]="","",IF(StaffPayroll[[#This Row],[Position / Title]]="","",VLOOKUP(StaffPayroll[[#This Row],[Position / Title]],Lists!A:C,2,FALSE)))</f>
        <v/>
      </c>
      <c r="N316" s="22">
        <f>IF(C316="",0,StaffPayroll[[#This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6" s="31">
        <f>IF(StaffPayroll[[#This Row],[Hourly WSB  Wage Minimum]]="",0,StaffPayroll[[#This Row],[Annual NF Wage Costs after WSB Minimum]]-StaffPayroll[[#This Row],[Annual NF Wage Costs before WSB Minimum]])</f>
        <v>0</v>
      </c>
      <c r="Q316" s="31">
        <f>IFERROR(IF(StaffPayroll[[#This Row],[Annual Cost of Wage Increase included in Rate Adjustment]]=0,0,P316*'Facility Info Input'!$F$10),0)</f>
        <v>0</v>
      </c>
      <c r="R316" s="32">
        <f>IFERROR(IF(StaffPayroll[[#This Row],[Annual Cost of Wage Increase included in Rate Adjustment]]=0,0,IF('Facility Info Input'!$F$11&lt;=0,0,P316*'Facility Info Input'!$F$11)),0)</f>
        <v>0</v>
      </c>
      <c r="S316" s="32">
        <f>IFERROR(IF(StaffPayroll[[#This Row],[Annual Cost of Wage Increase included in Rate Adjustment]]=0,0,IF('Facility Info Input'!$F$12&lt;=0,0,P316*'Facility Info Input'!$F$12)),0)</f>
        <v>0</v>
      </c>
      <c r="T316" s="32">
        <f t="shared" si="8"/>
        <v>0</v>
      </c>
      <c r="U316" s="33">
        <f t="shared" si="9"/>
        <v>0</v>
      </c>
    </row>
    <row r="317" spans="1:21">
      <c r="A317" s="76"/>
      <c r="B317" s="77"/>
      <c r="C317" s="81"/>
      <c r="D317" s="82"/>
      <c r="E317" s="82"/>
      <c r="F317" s="83"/>
      <c r="G317" s="84"/>
      <c r="H317" s="85"/>
      <c r="I317" s="71" t="e">
        <f>#REF!&amp;" "&amp;StaffPayroll[[#This Row],[Employee ID Number / Code]]</f>
        <v>#REF!</v>
      </c>
      <c r="J317" s="71" t="str">
        <f>_xlfn.IFNA(VLOOKUP(StaffPayroll[[#This Row],[Position / Title]],Lists!A:C,3,FALSE),"")</f>
        <v/>
      </c>
      <c r="K317" s="71">
        <f>StaffPayroll[[#This Row],[Payroll Period Ends Date (Minimum two months)]]-StaffPayroll[[#This Row],[Payroll Period Begins Date        (Must start after 6/1/2025)]]+1</f>
        <v>1</v>
      </c>
      <c r="L317" s="38">
        <f>IFERROR(IF(VLOOKUP(J317,'Facility Info Input'!$B$25:$D$34,3,FALSE)="",1,VLOOKUP(J317,'Facility Info Input'!$B$25:$D$34,3,FALSE)),0)</f>
        <v>0</v>
      </c>
      <c r="M317" s="22" t="str">
        <f>IF(StaffPayroll[[#This Row],[Employee ID Number / Code]]="","",IF(StaffPayroll[[#This Row],[Position / Title]]="","",VLOOKUP(StaffPayroll[[#This Row],[Position / Title]],Lists!A:C,2,FALSE)))</f>
        <v/>
      </c>
      <c r="N317" s="22">
        <f>IF(C317="",0,StaffPayroll[[#This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7" s="31">
        <f>IF(StaffPayroll[[#This Row],[Hourly WSB  Wage Minimum]]="",0,StaffPayroll[[#This Row],[Annual NF Wage Costs after WSB Minimum]]-StaffPayroll[[#This Row],[Annual NF Wage Costs before WSB Minimum]])</f>
        <v>0</v>
      </c>
      <c r="Q317" s="31">
        <f>IFERROR(IF(StaffPayroll[[#This Row],[Annual Cost of Wage Increase included in Rate Adjustment]]=0,0,P317*'Facility Info Input'!$F$10),0)</f>
        <v>0</v>
      </c>
      <c r="R317" s="32">
        <f>IFERROR(IF(StaffPayroll[[#This Row],[Annual Cost of Wage Increase included in Rate Adjustment]]=0,0,IF('Facility Info Input'!$F$11&lt;=0,0,P317*'Facility Info Input'!$F$11)),0)</f>
        <v>0</v>
      </c>
      <c r="S317" s="32">
        <f>IFERROR(IF(StaffPayroll[[#This Row],[Annual Cost of Wage Increase included in Rate Adjustment]]=0,0,IF('Facility Info Input'!$F$12&lt;=0,0,P317*'Facility Info Input'!$F$12)),0)</f>
        <v>0</v>
      </c>
      <c r="T317" s="32">
        <f t="shared" si="8"/>
        <v>0</v>
      </c>
      <c r="U317" s="33">
        <f t="shared" si="9"/>
        <v>0</v>
      </c>
    </row>
    <row r="318" spans="1:21">
      <c r="A318" s="76"/>
      <c r="B318" s="77"/>
      <c r="C318" s="81"/>
      <c r="D318" s="82"/>
      <c r="E318" s="82"/>
      <c r="F318" s="83"/>
      <c r="G318" s="84"/>
      <c r="H318" s="85"/>
      <c r="I318" s="71" t="e">
        <f>#REF!&amp;" "&amp;StaffPayroll[[#This Row],[Employee ID Number / Code]]</f>
        <v>#REF!</v>
      </c>
      <c r="J318" s="71" t="str">
        <f>_xlfn.IFNA(VLOOKUP(StaffPayroll[[#This Row],[Position / Title]],Lists!A:C,3,FALSE),"")</f>
        <v/>
      </c>
      <c r="K318" s="71">
        <f>StaffPayroll[[#This Row],[Payroll Period Ends Date (Minimum two months)]]-StaffPayroll[[#This Row],[Payroll Period Begins Date        (Must start after 6/1/2025)]]+1</f>
        <v>1</v>
      </c>
      <c r="L318" s="38">
        <f>IFERROR(IF(VLOOKUP(J318,'Facility Info Input'!$B$25:$D$34,3,FALSE)="",1,VLOOKUP(J318,'Facility Info Input'!$B$25:$D$34,3,FALSE)),0)</f>
        <v>0</v>
      </c>
      <c r="M318" s="22" t="str">
        <f>IF(StaffPayroll[[#This Row],[Employee ID Number / Code]]="","",IF(StaffPayroll[[#This Row],[Position / Title]]="","",VLOOKUP(StaffPayroll[[#This Row],[Position / Title]],Lists!A:C,2,FALSE)))</f>
        <v/>
      </c>
      <c r="N318" s="22">
        <f>IF(C318="",0,StaffPayroll[[#This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8" s="31">
        <f>IF(StaffPayroll[[#This Row],[Hourly WSB  Wage Minimum]]="",0,StaffPayroll[[#This Row],[Annual NF Wage Costs after WSB Minimum]]-StaffPayroll[[#This Row],[Annual NF Wage Costs before WSB Minimum]])</f>
        <v>0</v>
      </c>
      <c r="Q318" s="31">
        <f>IFERROR(IF(StaffPayroll[[#This Row],[Annual Cost of Wage Increase included in Rate Adjustment]]=0,0,P318*'Facility Info Input'!$F$10),0)</f>
        <v>0</v>
      </c>
      <c r="R318" s="32">
        <f>IFERROR(IF(StaffPayroll[[#This Row],[Annual Cost of Wage Increase included in Rate Adjustment]]=0,0,IF('Facility Info Input'!$F$11&lt;=0,0,P318*'Facility Info Input'!$F$11)),0)</f>
        <v>0</v>
      </c>
      <c r="S318" s="32">
        <f>IFERROR(IF(StaffPayroll[[#This Row],[Annual Cost of Wage Increase included in Rate Adjustment]]=0,0,IF('Facility Info Input'!$F$12&lt;=0,0,P318*'Facility Info Input'!$F$12)),0)</f>
        <v>0</v>
      </c>
      <c r="T318" s="32">
        <f t="shared" si="8"/>
        <v>0</v>
      </c>
      <c r="U318" s="33">
        <f t="shared" si="9"/>
        <v>0</v>
      </c>
    </row>
    <row r="319" spans="1:21">
      <c r="A319" s="76"/>
      <c r="B319" s="77"/>
      <c r="C319" s="81"/>
      <c r="D319" s="82"/>
      <c r="E319" s="82"/>
      <c r="F319" s="83"/>
      <c r="G319" s="84"/>
      <c r="H319" s="85"/>
      <c r="I319" s="71" t="e">
        <f>#REF!&amp;" "&amp;StaffPayroll[[#This Row],[Employee ID Number / Code]]</f>
        <v>#REF!</v>
      </c>
      <c r="J319" s="71" t="str">
        <f>_xlfn.IFNA(VLOOKUP(StaffPayroll[[#This Row],[Position / Title]],Lists!A:C,3,FALSE),"")</f>
        <v/>
      </c>
      <c r="K319" s="71">
        <f>StaffPayroll[[#This Row],[Payroll Period Ends Date (Minimum two months)]]-StaffPayroll[[#This Row],[Payroll Period Begins Date        (Must start after 6/1/2025)]]+1</f>
        <v>1</v>
      </c>
      <c r="L319" s="38">
        <f>IFERROR(IF(VLOOKUP(J319,'Facility Info Input'!$B$25:$D$34,3,FALSE)="",1,VLOOKUP(J319,'Facility Info Input'!$B$25:$D$34,3,FALSE)),0)</f>
        <v>0</v>
      </c>
      <c r="M319" s="22" t="str">
        <f>IF(StaffPayroll[[#This Row],[Employee ID Number / Code]]="","",IF(StaffPayroll[[#This Row],[Position / Title]]="","",VLOOKUP(StaffPayroll[[#This Row],[Position / Title]],Lists!A:C,2,FALSE)))</f>
        <v/>
      </c>
      <c r="N319" s="22">
        <f>IF(C319="",0,StaffPayroll[[#This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1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19" s="31">
        <f>IF(StaffPayroll[[#This Row],[Hourly WSB  Wage Minimum]]="",0,StaffPayroll[[#This Row],[Annual NF Wage Costs after WSB Minimum]]-StaffPayroll[[#This Row],[Annual NF Wage Costs before WSB Minimum]])</f>
        <v>0</v>
      </c>
      <c r="Q319" s="31">
        <f>IFERROR(IF(StaffPayroll[[#This Row],[Annual Cost of Wage Increase included in Rate Adjustment]]=0,0,P319*'Facility Info Input'!$F$10),0)</f>
        <v>0</v>
      </c>
      <c r="R319" s="32">
        <f>IFERROR(IF(StaffPayroll[[#This Row],[Annual Cost of Wage Increase included in Rate Adjustment]]=0,0,IF('Facility Info Input'!$F$11&lt;=0,0,P319*'Facility Info Input'!$F$11)),0)</f>
        <v>0</v>
      </c>
      <c r="S319" s="32">
        <f>IFERROR(IF(StaffPayroll[[#This Row],[Annual Cost of Wage Increase included in Rate Adjustment]]=0,0,IF('Facility Info Input'!$F$12&lt;=0,0,P319*'Facility Info Input'!$F$12)),0)</f>
        <v>0</v>
      </c>
      <c r="T319" s="32">
        <f t="shared" si="8"/>
        <v>0</v>
      </c>
      <c r="U319" s="33">
        <f t="shared" si="9"/>
        <v>0</v>
      </c>
    </row>
    <row r="320" spans="1:21">
      <c r="A320" s="76"/>
      <c r="B320" s="77"/>
      <c r="C320" s="81"/>
      <c r="D320" s="82"/>
      <c r="E320" s="82"/>
      <c r="F320" s="83"/>
      <c r="G320" s="84"/>
      <c r="H320" s="85"/>
      <c r="I320" s="71" t="e">
        <f>#REF!&amp;" "&amp;StaffPayroll[[#This Row],[Employee ID Number / Code]]</f>
        <v>#REF!</v>
      </c>
      <c r="J320" s="71" t="str">
        <f>_xlfn.IFNA(VLOOKUP(StaffPayroll[[#This Row],[Position / Title]],Lists!A:C,3,FALSE),"")</f>
        <v/>
      </c>
      <c r="K320" s="71">
        <f>StaffPayroll[[#This Row],[Payroll Period Ends Date (Minimum two months)]]-StaffPayroll[[#This Row],[Payroll Period Begins Date        (Must start after 6/1/2025)]]+1</f>
        <v>1</v>
      </c>
      <c r="L320" s="38">
        <f>IFERROR(IF(VLOOKUP(J320,'Facility Info Input'!$B$25:$D$34,3,FALSE)="",1,VLOOKUP(J320,'Facility Info Input'!$B$25:$D$34,3,FALSE)),0)</f>
        <v>0</v>
      </c>
      <c r="M320" s="22" t="str">
        <f>IF(StaffPayroll[[#This Row],[Employee ID Number / Code]]="","",IF(StaffPayroll[[#This Row],[Position / Title]]="","",VLOOKUP(StaffPayroll[[#This Row],[Position / Title]],Lists!A:C,2,FALSE)))</f>
        <v/>
      </c>
      <c r="N320" s="22">
        <f>IF(C320="",0,StaffPayroll[[#This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0" s="31">
        <f>IF(StaffPayroll[[#This Row],[Hourly WSB  Wage Minimum]]="",0,StaffPayroll[[#This Row],[Annual NF Wage Costs after WSB Minimum]]-StaffPayroll[[#This Row],[Annual NF Wage Costs before WSB Minimum]])</f>
        <v>0</v>
      </c>
      <c r="Q320" s="31">
        <f>IFERROR(IF(StaffPayroll[[#This Row],[Annual Cost of Wage Increase included in Rate Adjustment]]=0,0,P320*'Facility Info Input'!$F$10),0)</f>
        <v>0</v>
      </c>
      <c r="R320" s="32">
        <f>IFERROR(IF(StaffPayroll[[#This Row],[Annual Cost of Wage Increase included in Rate Adjustment]]=0,0,IF('Facility Info Input'!$F$11&lt;=0,0,P320*'Facility Info Input'!$F$11)),0)</f>
        <v>0</v>
      </c>
      <c r="S320" s="32">
        <f>IFERROR(IF(StaffPayroll[[#This Row],[Annual Cost of Wage Increase included in Rate Adjustment]]=0,0,IF('Facility Info Input'!$F$12&lt;=0,0,P320*'Facility Info Input'!$F$12)),0)</f>
        <v>0</v>
      </c>
      <c r="T320" s="32">
        <f t="shared" si="8"/>
        <v>0</v>
      </c>
      <c r="U320" s="33">
        <f t="shared" si="9"/>
        <v>0</v>
      </c>
    </row>
    <row r="321" spans="1:21">
      <c r="A321" s="76"/>
      <c r="B321" s="77"/>
      <c r="C321" s="81"/>
      <c r="D321" s="82"/>
      <c r="E321" s="82"/>
      <c r="F321" s="83"/>
      <c r="G321" s="84"/>
      <c r="H321" s="85"/>
      <c r="I321" s="71" t="e">
        <f>#REF!&amp;" "&amp;StaffPayroll[[#This Row],[Employee ID Number / Code]]</f>
        <v>#REF!</v>
      </c>
      <c r="J321" s="71" t="str">
        <f>_xlfn.IFNA(VLOOKUP(StaffPayroll[[#This Row],[Position / Title]],Lists!A:C,3,FALSE),"")</f>
        <v/>
      </c>
      <c r="K321" s="71">
        <f>StaffPayroll[[#This Row],[Payroll Period Ends Date (Minimum two months)]]-StaffPayroll[[#This Row],[Payroll Period Begins Date        (Must start after 6/1/2025)]]+1</f>
        <v>1</v>
      </c>
      <c r="L321" s="38">
        <f>IFERROR(IF(VLOOKUP(J321,'Facility Info Input'!$B$25:$D$34,3,FALSE)="",1,VLOOKUP(J321,'Facility Info Input'!$B$25:$D$34,3,FALSE)),0)</f>
        <v>0</v>
      </c>
      <c r="M321" s="22" t="str">
        <f>IF(StaffPayroll[[#This Row],[Employee ID Number / Code]]="","",IF(StaffPayroll[[#This Row],[Position / Title]]="","",VLOOKUP(StaffPayroll[[#This Row],[Position / Title]],Lists!A:C,2,FALSE)))</f>
        <v/>
      </c>
      <c r="N321" s="22">
        <f>IF(C321="",0,StaffPayroll[[#This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1" s="31">
        <f>IF(StaffPayroll[[#This Row],[Hourly WSB  Wage Minimum]]="",0,StaffPayroll[[#This Row],[Annual NF Wage Costs after WSB Minimum]]-StaffPayroll[[#This Row],[Annual NF Wage Costs before WSB Minimum]])</f>
        <v>0</v>
      </c>
      <c r="Q321" s="31">
        <f>IFERROR(IF(StaffPayroll[[#This Row],[Annual Cost of Wage Increase included in Rate Adjustment]]=0,0,P321*'Facility Info Input'!$F$10),0)</f>
        <v>0</v>
      </c>
      <c r="R321" s="32">
        <f>IFERROR(IF(StaffPayroll[[#This Row],[Annual Cost of Wage Increase included in Rate Adjustment]]=0,0,IF('Facility Info Input'!$F$11&lt;=0,0,P321*'Facility Info Input'!$F$11)),0)</f>
        <v>0</v>
      </c>
      <c r="S321" s="32">
        <f>IFERROR(IF(StaffPayroll[[#This Row],[Annual Cost of Wage Increase included in Rate Adjustment]]=0,0,IF('Facility Info Input'!$F$12&lt;=0,0,P321*'Facility Info Input'!$F$12)),0)</f>
        <v>0</v>
      </c>
      <c r="T321" s="32">
        <f t="shared" si="8"/>
        <v>0</v>
      </c>
      <c r="U321" s="33">
        <f t="shared" si="9"/>
        <v>0</v>
      </c>
    </row>
    <row r="322" spans="1:21">
      <c r="A322" s="76"/>
      <c r="B322" s="77"/>
      <c r="C322" s="81"/>
      <c r="D322" s="82"/>
      <c r="E322" s="82"/>
      <c r="F322" s="83"/>
      <c r="G322" s="84"/>
      <c r="H322" s="85"/>
      <c r="I322" s="71" t="e">
        <f>#REF!&amp;" "&amp;StaffPayroll[[#This Row],[Employee ID Number / Code]]</f>
        <v>#REF!</v>
      </c>
      <c r="J322" s="71" t="str">
        <f>_xlfn.IFNA(VLOOKUP(StaffPayroll[[#This Row],[Position / Title]],Lists!A:C,3,FALSE),"")</f>
        <v/>
      </c>
      <c r="K322" s="71">
        <f>StaffPayroll[[#This Row],[Payroll Period Ends Date (Minimum two months)]]-StaffPayroll[[#This Row],[Payroll Period Begins Date        (Must start after 6/1/2025)]]+1</f>
        <v>1</v>
      </c>
      <c r="L322" s="38">
        <f>IFERROR(IF(VLOOKUP(J322,'Facility Info Input'!$B$25:$D$34,3,FALSE)="",1,VLOOKUP(J322,'Facility Info Input'!$B$25:$D$34,3,FALSE)),0)</f>
        <v>0</v>
      </c>
      <c r="M322" s="22" t="str">
        <f>IF(StaffPayroll[[#This Row],[Employee ID Number / Code]]="","",IF(StaffPayroll[[#This Row],[Position / Title]]="","",VLOOKUP(StaffPayroll[[#This Row],[Position / Title]],Lists!A:C,2,FALSE)))</f>
        <v/>
      </c>
      <c r="N322" s="22">
        <f>IF(C322="",0,StaffPayroll[[#This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2" s="31">
        <f>IF(StaffPayroll[[#This Row],[Hourly WSB  Wage Minimum]]="",0,StaffPayroll[[#This Row],[Annual NF Wage Costs after WSB Minimum]]-StaffPayroll[[#This Row],[Annual NF Wage Costs before WSB Minimum]])</f>
        <v>0</v>
      </c>
      <c r="Q322" s="31">
        <f>IFERROR(IF(StaffPayroll[[#This Row],[Annual Cost of Wage Increase included in Rate Adjustment]]=0,0,P322*'Facility Info Input'!$F$10),0)</f>
        <v>0</v>
      </c>
      <c r="R322" s="32">
        <f>IFERROR(IF(StaffPayroll[[#This Row],[Annual Cost of Wage Increase included in Rate Adjustment]]=0,0,IF('Facility Info Input'!$F$11&lt;=0,0,P322*'Facility Info Input'!$F$11)),0)</f>
        <v>0</v>
      </c>
      <c r="S322" s="32">
        <f>IFERROR(IF(StaffPayroll[[#This Row],[Annual Cost of Wage Increase included in Rate Adjustment]]=0,0,IF('Facility Info Input'!$F$12&lt;=0,0,P322*'Facility Info Input'!$F$12)),0)</f>
        <v>0</v>
      </c>
      <c r="T322" s="32">
        <f t="shared" ref="T322:T385" si="10">IFERROR(IF(G322="Yes",H322*P322,0),0)</f>
        <v>0</v>
      </c>
      <c r="U322" s="33">
        <f t="shared" si="9"/>
        <v>0</v>
      </c>
    </row>
    <row r="323" spans="1:21">
      <c r="A323" s="76"/>
      <c r="B323" s="77"/>
      <c r="C323" s="81"/>
      <c r="D323" s="82"/>
      <c r="E323" s="82"/>
      <c r="F323" s="83"/>
      <c r="G323" s="84"/>
      <c r="H323" s="85"/>
      <c r="I323" s="71" t="e">
        <f>#REF!&amp;" "&amp;StaffPayroll[[#This Row],[Employee ID Number / Code]]</f>
        <v>#REF!</v>
      </c>
      <c r="J323" s="71" t="str">
        <f>_xlfn.IFNA(VLOOKUP(StaffPayroll[[#This Row],[Position / Title]],Lists!A:C,3,FALSE),"")</f>
        <v/>
      </c>
      <c r="K323" s="71">
        <f>StaffPayroll[[#This Row],[Payroll Period Ends Date (Minimum two months)]]-StaffPayroll[[#This Row],[Payroll Period Begins Date        (Must start after 6/1/2025)]]+1</f>
        <v>1</v>
      </c>
      <c r="L323" s="38">
        <f>IFERROR(IF(VLOOKUP(J323,'Facility Info Input'!$B$25:$D$34,3,FALSE)="",1,VLOOKUP(J323,'Facility Info Input'!$B$25:$D$34,3,FALSE)),0)</f>
        <v>0</v>
      </c>
      <c r="M323" s="22" t="str">
        <f>IF(StaffPayroll[[#This Row],[Employee ID Number / Code]]="","",IF(StaffPayroll[[#This Row],[Position / Title]]="","",VLOOKUP(StaffPayroll[[#This Row],[Position / Title]],Lists!A:C,2,FALSE)))</f>
        <v/>
      </c>
      <c r="N323" s="22">
        <f>IF(C323="",0,StaffPayroll[[#This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3" s="31">
        <f>IF(StaffPayroll[[#This Row],[Hourly WSB  Wage Minimum]]="",0,StaffPayroll[[#This Row],[Annual NF Wage Costs after WSB Minimum]]-StaffPayroll[[#This Row],[Annual NF Wage Costs before WSB Minimum]])</f>
        <v>0</v>
      </c>
      <c r="Q323" s="31">
        <f>IFERROR(IF(StaffPayroll[[#This Row],[Annual Cost of Wage Increase included in Rate Adjustment]]=0,0,P323*'Facility Info Input'!$F$10),0)</f>
        <v>0</v>
      </c>
      <c r="R323" s="32">
        <f>IFERROR(IF(StaffPayroll[[#This Row],[Annual Cost of Wage Increase included in Rate Adjustment]]=0,0,IF('Facility Info Input'!$F$11&lt;=0,0,P323*'Facility Info Input'!$F$11)),0)</f>
        <v>0</v>
      </c>
      <c r="S323" s="32">
        <f>IFERROR(IF(StaffPayroll[[#This Row],[Annual Cost of Wage Increase included in Rate Adjustment]]=0,0,IF('Facility Info Input'!$F$12&lt;=0,0,P323*'Facility Info Input'!$F$12)),0)</f>
        <v>0</v>
      </c>
      <c r="T323" s="32">
        <f t="shared" si="10"/>
        <v>0</v>
      </c>
      <c r="U323" s="33">
        <f t="shared" ref="U323:U386" si="11">IFERROR(SUM(P323:T323),0)</f>
        <v>0</v>
      </c>
    </row>
    <row r="324" spans="1:21">
      <c r="A324" s="76"/>
      <c r="B324" s="77"/>
      <c r="C324" s="81"/>
      <c r="D324" s="82"/>
      <c r="E324" s="82"/>
      <c r="F324" s="83"/>
      <c r="G324" s="84"/>
      <c r="H324" s="85"/>
      <c r="I324" s="71" t="e">
        <f>#REF!&amp;" "&amp;StaffPayroll[[#This Row],[Employee ID Number / Code]]</f>
        <v>#REF!</v>
      </c>
      <c r="J324" s="71" t="str">
        <f>_xlfn.IFNA(VLOOKUP(StaffPayroll[[#This Row],[Position / Title]],Lists!A:C,3,FALSE),"")</f>
        <v/>
      </c>
      <c r="K324" s="71">
        <f>StaffPayroll[[#This Row],[Payroll Period Ends Date (Minimum two months)]]-StaffPayroll[[#This Row],[Payroll Period Begins Date        (Must start after 6/1/2025)]]+1</f>
        <v>1</v>
      </c>
      <c r="L324" s="38">
        <f>IFERROR(IF(VLOOKUP(J324,'Facility Info Input'!$B$25:$D$34,3,FALSE)="",1,VLOOKUP(J324,'Facility Info Input'!$B$25:$D$34,3,FALSE)),0)</f>
        <v>0</v>
      </c>
      <c r="M324" s="22" t="str">
        <f>IF(StaffPayroll[[#This Row],[Employee ID Number / Code]]="","",IF(StaffPayroll[[#This Row],[Position / Title]]="","",VLOOKUP(StaffPayroll[[#This Row],[Position / Title]],Lists!A:C,2,FALSE)))</f>
        <v/>
      </c>
      <c r="N324" s="22">
        <f>IF(C324="",0,StaffPayroll[[#This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4" s="31">
        <f>IF(StaffPayroll[[#This Row],[Hourly WSB  Wage Minimum]]="",0,StaffPayroll[[#This Row],[Annual NF Wage Costs after WSB Minimum]]-StaffPayroll[[#This Row],[Annual NF Wage Costs before WSB Minimum]])</f>
        <v>0</v>
      </c>
      <c r="Q324" s="31">
        <f>IFERROR(IF(StaffPayroll[[#This Row],[Annual Cost of Wage Increase included in Rate Adjustment]]=0,0,P324*'Facility Info Input'!$F$10),0)</f>
        <v>0</v>
      </c>
      <c r="R324" s="32">
        <f>IFERROR(IF(StaffPayroll[[#This Row],[Annual Cost of Wage Increase included in Rate Adjustment]]=0,0,IF('Facility Info Input'!$F$11&lt;=0,0,P324*'Facility Info Input'!$F$11)),0)</f>
        <v>0</v>
      </c>
      <c r="S324" s="32">
        <f>IFERROR(IF(StaffPayroll[[#This Row],[Annual Cost of Wage Increase included in Rate Adjustment]]=0,0,IF('Facility Info Input'!$F$12&lt;=0,0,P324*'Facility Info Input'!$F$12)),0)</f>
        <v>0</v>
      </c>
      <c r="T324" s="32">
        <f t="shared" si="10"/>
        <v>0</v>
      </c>
      <c r="U324" s="33">
        <f t="shared" si="11"/>
        <v>0</v>
      </c>
    </row>
    <row r="325" spans="1:21">
      <c r="A325" s="76"/>
      <c r="B325" s="77"/>
      <c r="C325" s="81"/>
      <c r="D325" s="82"/>
      <c r="E325" s="82"/>
      <c r="F325" s="83"/>
      <c r="G325" s="84"/>
      <c r="H325" s="85"/>
      <c r="I325" s="71" t="e">
        <f>#REF!&amp;" "&amp;StaffPayroll[[#This Row],[Employee ID Number / Code]]</f>
        <v>#REF!</v>
      </c>
      <c r="J325" s="71" t="str">
        <f>_xlfn.IFNA(VLOOKUP(StaffPayroll[[#This Row],[Position / Title]],Lists!A:C,3,FALSE),"")</f>
        <v/>
      </c>
      <c r="K325" s="71">
        <f>StaffPayroll[[#This Row],[Payroll Period Ends Date (Minimum two months)]]-StaffPayroll[[#This Row],[Payroll Period Begins Date        (Must start after 6/1/2025)]]+1</f>
        <v>1</v>
      </c>
      <c r="L325" s="38">
        <f>IFERROR(IF(VLOOKUP(J325,'Facility Info Input'!$B$25:$D$34,3,FALSE)="",1,VLOOKUP(J325,'Facility Info Input'!$B$25:$D$34,3,FALSE)),0)</f>
        <v>0</v>
      </c>
      <c r="M325" s="22" t="str">
        <f>IF(StaffPayroll[[#This Row],[Employee ID Number / Code]]="","",IF(StaffPayroll[[#This Row],[Position / Title]]="","",VLOOKUP(StaffPayroll[[#This Row],[Position / Title]],Lists!A:C,2,FALSE)))</f>
        <v/>
      </c>
      <c r="N325" s="22">
        <f>IF(C325="",0,StaffPayroll[[#This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5" s="31">
        <f>IF(StaffPayroll[[#This Row],[Hourly WSB  Wage Minimum]]="",0,StaffPayroll[[#This Row],[Annual NF Wage Costs after WSB Minimum]]-StaffPayroll[[#This Row],[Annual NF Wage Costs before WSB Minimum]])</f>
        <v>0</v>
      </c>
      <c r="Q325" s="31">
        <f>IFERROR(IF(StaffPayroll[[#This Row],[Annual Cost of Wage Increase included in Rate Adjustment]]=0,0,P325*'Facility Info Input'!$F$10),0)</f>
        <v>0</v>
      </c>
      <c r="R325" s="32">
        <f>IFERROR(IF(StaffPayroll[[#This Row],[Annual Cost of Wage Increase included in Rate Adjustment]]=0,0,IF('Facility Info Input'!$F$11&lt;=0,0,P325*'Facility Info Input'!$F$11)),0)</f>
        <v>0</v>
      </c>
      <c r="S325" s="32">
        <f>IFERROR(IF(StaffPayroll[[#This Row],[Annual Cost of Wage Increase included in Rate Adjustment]]=0,0,IF('Facility Info Input'!$F$12&lt;=0,0,P325*'Facility Info Input'!$F$12)),0)</f>
        <v>0</v>
      </c>
      <c r="T325" s="32">
        <f t="shared" si="10"/>
        <v>0</v>
      </c>
      <c r="U325" s="33">
        <f t="shared" si="11"/>
        <v>0</v>
      </c>
    </row>
    <row r="326" spans="1:21">
      <c r="A326" s="76"/>
      <c r="B326" s="77"/>
      <c r="C326" s="81"/>
      <c r="D326" s="82"/>
      <c r="E326" s="82"/>
      <c r="F326" s="83"/>
      <c r="G326" s="84"/>
      <c r="H326" s="85"/>
      <c r="I326" s="71" t="e">
        <f>#REF!&amp;" "&amp;StaffPayroll[[#This Row],[Employee ID Number / Code]]</f>
        <v>#REF!</v>
      </c>
      <c r="J326" s="71" t="str">
        <f>_xlfn.IFNA(VLOOKUP(StaffPayroll[[#This Row],[Position / Title]],Lists!A:C,3,FALSE),"")</f>
        <v/>
      </c>
      <c r="K326" s="71">
        <f>StaffPayroll[[#This Row],[Payroll Period Ends Date (Minimum two months)]]-StaffPayroll[[#This Row],[Payroll Period Begins Date        (Must start after 6/1/2025)]]+1</f>
        <v>1</v>
      </c>
      <c r="L326" s="38">
        <f>IFERROR(IF(VLOOKUP(J326,'Facility Info Input'!$B$25:$D$34,3,FALSE)="",1,VLOOKUP(J326,'Facility Info Input'!$B$25:$D$34,3,FALSE)),0)</f>
        <v>0</v>
      </c>
      <c r="M326" s="22" t="str">
        <f>IF(StaffPayroll[[#This Row],[Employee ID Number / Code]]="","",IF(StaffPayroll[[#This Row],[Position / Title]]="","",VLOOKUP(StaffPayroll[[#This Row],[Position / Title]],Lists!A:C,2,FALSE)))</f>
        <v/>
      </c>
      <c r="N326" s="22">
        <f>IF(C326="",0,StaffPayroll[[#This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6" s="31">
        <f>IF(StaffPayroll[[#This Row],[Hourly WSB  Wage Minimum]]="",0,StaffPayroll[[#This Row],[Annual NF Wage Costs after WSB Minimum]]-StaffPayroll[[#This Row],[Annual NF Wage Costs before WSB Minimum]])</f>
        <v>0</v>
      </c>
      <c r="Q326" s="31">
        <f>IFERROR(IF(StaffPayroll[[#This Row],[Annual Cost of Wage Increase included in Rate Adjustment]]=0,0,P326*'Facility Info Input'!$F$10),0)</f>
        <v>0</v>
      </c>
      <c r="R326" s="32">
        <f>IFERROR(IF(StaffPayroll[[#This Row],[Annual Cost of Wage Increase included in Rate Adjustment]]=0,0,IF('Facility Info Input'!$F$11&lt;=0,0,P326*'Facility Info Input'!$F$11)),0)</f>
        <v>0</v>
      </c>
      <c r="S326" s="32">
        <f>IFERROR(IF(StaffPayroll[[#This Row],[Annual Cost of Wage Increase included in Rate Adjustment]]=0,0,IF('Facility Info Input'!$F$12&lt;=0,0,P326*'Facility Info Input'!$F$12)),0)</f>
        <v>0</v>
      </c>
      <c r="T326" s="32">
        <f t="shared" si="10"/>
        <v>0</v>
      </c>
      <c r="U326" s="33">
        <f t="shared" si="11"/>
        <v>0</v>
      </c>
    </row>
    <row r="327" spans="1:21">
      <c r="A327" s="76"/>
      <c r="B327" s="77"/>
      <c r="C327" s="81"/>
      <c r="D327" s="82"/>
      <c r="E327" s="82"/>
      <c r="F327" s="83"/>
      <c r="G327" s="84"/>
      <c r="H327" s="85"/>
      <c r="I327" s="71" t="e">
        <f>#REF!&amp;" "&amp;StaffPayroll[[#This Row],[Employee ID Number / Code]]</f>
        <v>#REF!</v>
      </c>
      <c r="J327" s="71" t="str">
        <f>_xlfn.IFNA(VLOOKUP(StaffPayroll[[#This Row],[Position / Title]],Lists!A:C,3,FALSE),"")</f>
        <v/>
      </c>
      <c r="K327" s="71">
        <f>StaffPayroll[[#This Row],[Payroll Period Ends Date (Minimum two months)]]-StaffPayroll[[#This Row],[Payroll Period Begins Date        (Must start after 6/1/2025)]]+1</f>
        <v>1</v>
      </c>
      <c r="L327" s="38">
        <f>IFERROR(IF(VLOOKUP(J327,'Facility Info Input'!$B$25:$D$34,3,FALSE)="",1,VLOOKUP(J327,'Facility Info Input'!$B$25:$D$34,3,FALSE)),0)</f>
        <v>0</v>
      </c>
      <c r="M327" s="22" t="str">
        <f>IF(StaffPayroll[[#This Row],[Employee ID Number / Code]]="","",IF(StaffPayroll[[#This Row],[Position / Title]]="","",VLOOKUP(StaffPayroll[[#This Row],[Position / Title]],Lists!A:C,2,FALSE)))</f>
        <v/>
      </c>
      <c r="N327" s="22">
        <f>IF(C327="",0,StaffPayroll[[#This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7" s="31">
        <f>IF(StaffPayroll[[#This Row],[Hourly WSB  Wage Minimum]]="",0,StaffPayroll[[#This Row],[Annual NF Wage Costs after WSB Minimum]]-StaffPayroll[[#This Row],[Annual NF Wage Costs before WSB Minimum]])</f>
        <v>0</v>
      </c>
      <c r="Q327" s="31">
        <f>IFERROR(IF(StaffPayroll[[#This Row],[Annual Cost of Wage Increase included in Rate Adjustment]]=0,0,P327*'Facility Info Input'!$F$10),0)</f>
        <v>0</v>
      </c>
      <c r="R327" s="32">
        <f>IFERROR(IF(StaffPayroll[[#This Row],[Annual Cost of Wage Increase included in Rate Adjustment]]=0,0,IF('Facility Info Input'!$F$11&lt;=0,0,P327*'Facility Info Input'!$F$11)),0)</f>
        <v>0</v>
      </c>
      <c r="S327" s="32">
        <f>IFERROR(IF(StaffPayroll[[#This Row],[Annual Cost of Wage Increase included in Rate Adjustment]]=0,0,IF('Facility Info Input'!$F$12&lt;=0,0,P327*'Facility Info Input'!$F$12)),0)</f>
        <v>0</v>
      </c>
      <c r="T327" s="32">
        <f t="shared" si="10"/>
        <v>0</v>
      </c>
      <c r="U327" s="33">
        <f t="shared" si="11"/>
        <v>0</v>
      </c>
    </row>
    <row r="328" spans="1:21">
      <c r="A328" s="76"/>
      <c r="B328" s="77"/>
      <c r="C328" s="81"/>
      <c r="D328" s="82"/>
      <c r="E328" s="82"/>
      <c r="F328" s="83"/>
      <c r="G328" s="84"/>
      <c r="H328" s="85"/>
      <c r="I328" s="71" t="e">
        <f>#REF!&amp;" "&amp;StaffPayroll[[#This Row],[Employee ID Number / Code]]</f>
        <v>#REF!</v>
      </c>
      <c r="J328" s="71" t="str">
        <f>_xlfn.IFNA(VLOOKUP(StaffPayroll[[#This Row],[Position / Title]],Lists!A:C,3,FALSE),"")</f>
        <v/>
      </c>
      <c r="K328" s="71">
        <f>StaffPayroll[[#This Row],[Payroll Period Ends Date (Minimum two months)]]-StaffPayroll[[#This Row],[Payroll Period Begins Date        (Must start after 6/1/2025)]]+1</f>
        <v>1</v>
      </c>
      <c r="L328" s="38">
        <f>IFERROR(IF(VLOOKUP(J328,'Facility Info Input'!$B$25:$D$34,3,FALSE)="",1,VLOOKUP(J328,'Facility Info Input'!$B$25:$D$34,3,FALSE)),0)</f>
        <v>0</v>
      </c>
      <c r="M328" s="22" t="str">
        <f>IF(StaffPayroll[[#This Row],[Employee ID Number / Code]]="","",IF(StaffPayroll[[#This Row],[Position / Title]]="","",VLOOKUP(StaffPayroll[[#This Row],[Position / Title]],Lists!A:C,2,FALSE)))</f>
        <v/>
      </c>
      <c r="N328" s="22">
        <f>IF(C328="",0,StaffPayroll[[#This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8" s="31">
        <f>IF(StaffPayroll[[#This Row],[Hourly WSB  Wage Minimum]]="",0,StaffPayroll[[#This Row],[Annual NF Wage Costs after WSB Minimum]]-StaffPayroll[[#This Row],[Annual NF Wage Costs before WSB Minimum]])</f>
        <v>0</v>
      </c>
      <c r="Q328" s="31">
        <f>IFERROR(IF(StaffPayroll[[#This Row],[Annual Cost of Wage Increase included in Rate Adjustment]]=0,0,P328*'Facility Info Input'!$F$10),0)</f>
        <v>0</v>
      </c>
      <c r="R328" s="32">
        <f>IFERROR(IF(StaffPayroll[[#This Row],[Annual Cost of Wage Increase included in Rate Adjustment]]=0,0,IF('Facility Info Input'!$F$11&lt;=0,0,P328*'Facility Info Input'!$F$11)),0)</f>
        <v>0</v>
      </c>
      <c r="S328" s="32">
        <f>IFERROR(IF(StaffPayroll[[#This Row],[Annual Cost of Wage Increase included in Rate Adjustment]]=0,0,IF('Facility Info Input'!$F$12&lt;=0,0,P328*'Facility Info Input'!$F$12)),0)</f>
        <v>0</v>
      </c>
      <c r="T328" s="32">
        <f t="shared" si="10"/>
        <v>0</v>
      </c>
      <c r="U328" s="33">
        <f t="shared" si="11"/>
        <v>0</v>
      </c>
    </row>
    <row r="329" spans="1:21">
      <c r="A329" s="76"/>
      <c r="B329" s="77"/>
      <c r="C329" s="81"/>
      <c r="D329" s="82"/>
      <c r="E329" s="82"/>
      <c r="F329" s="83"/>
      <c r="G329" s="84"/>
      <c r="H329" s="85"/>
      <c r="I329" s="71" t="e">
        <f>#REF!&amp;" "&amp;StaffPayroll[[#This Row],[Employee ID Number / Code]]</f>
        <v>#REF!</v>
      </c>
      <c r="J329" s="71" t="str">
        <f>_xlfn.IFNA(VLOOKUP(StaffPayroll[[#This Row],[Position / Title]],Lists!A:C,3,FALSE),"")</f>
        <v/>
      </c>
      <c r="K329" s="71">
        <f>StaffPayroll[[#This Row],[Payroll Period Ends Date (Minimum two months)]]-StaffPayroll[[#This Row],[Payroll Period Begins Date        (Must start after 6/1/2025)]]+1</f>
        <v>1</v>
      </c>
      <c r="L329" s="38">
        <f>IFERROR(IF(VLOOKUP(J329,'Facility Info Input'!$B$25:$D$34,3,FALSE)="",1,VLOOKUP(J329,'Facility Info Input'!$B$25:$D$34,3,FALSE)),0)</f>
        <v>0</v>
      </c>
      <c r="M329" s="22" t="str">
        <f>IF(StaffPayroll[[#This Row],[Employee ID Number / Code]]="","",IF(StaffPayroll[[#This Row],[Position / Title]]="","",VLOOKUP(StaffPayroll[[#This Row],[Position / Title]],Lists!A:C,2,FALSE)))</f>
        <v/>
      </c>
      <c r="N329" s="22">
        <f>IF(C329="",0,StaffPayroll[[#This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2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29" s="31">
        <f>IF(StaffPayroll[[#This Row],[Hourly WSB  Wage Minimum]]="",0,StaffPayroll[[#This Row],[Annual NF Wage Costs after WSB Minimum]]-StaffPayroll[[#This Row],[Annual NF Wage Costs before WSB Minimum]])</f>
        <v>0</v>
      </c>
      <c r="Q329" s="31">
        <f>IFERROR(IF(StaffPayroll[[#This Row],[Annual Cost of Wage Increase included in Rate Adjustment]]=0,0,P329*'Facility Info Input'!$F$10),0)</f>
        <v>0</v>
      </c>
      <c r="R329" s="32">
        <f>IFERROR(IF(StaffPayroll[[#This Row],[Annual Cost of Wage Increase included in Rate Adjustment]]=0,0,IF('Facility Info Input'!$F$11&lt;=0,0,P329*'Facility Info Input'!$F$11)),0)</f>
        <v>0</v>
      </c>
      <c r="S329" s="32">
        <f>IFERROR(IF(StaffPayroll[[#This Row],[Annual Cost of Wage Increase included in Rate Adjustment]]=0,0,IF('Facility Info Input'!$F$12&lt;=0,0,P329*'Facility Info Input'!$F$12)),0)</f>
        <v>0</v>
      </c>
      <c r="T329" s="32">
        <f t="shared" si="10"/>
        <v>0</v>
      </c>
      <c r="U329" s="33">
        <f t="shared" si="11"/>
        <v>0</v>
      </c>
    </row>
    <row r="330" spans="1:21">
      <c r="A330" s="76"/>
      <c r="B330" s="77"/>
      <c r="C330" s="81"/>
      <c r="D330" s="82"/>
      <c r="E330" s="82"/>
      <c r="F330" s="83"/>
      <c r="G330" s="84"/>
      <c r="H330" s="85"/>
      <c r="I330" s="71" t="e">
        <f>#REF!&amp;" "&amp;StaffPayroll[[#This Row],[Employee ID Number / Code]]</f>
        <v>#REF!</v>
      </c>
      <c r="J330" s="71" t="str">
        <f>_xlfn.IFNA(VLOOKUP(StaffPayroll[[#This Row],[Position / Title]],Lists!A:C,3,FALSE),"")</f>
        <v/>
      </c>
      <c r="K330" s="71">
        <f>StaffPayroll[[#This Row],[Payroll Period Ends Date (Minimum two months)]]-StaffPayroll[[#This Row],[Payroll Period Begins Date        (Must start after 6/1/2025)]]+1</f>
        <v>1</v>
      </c>
      <c r="L330" s="38">
        <f>IFERROR(IF(VLOOKUP(J330,'Facility Info Input'!$B$25:$D$34,3,FALSE)="",1,VLOOKUP(J330,'Facility Info Input'!$B$25:$D$34,3,FALSE)),0)</f>
        <v>0</v>
      </c>
      <c r="M330" s="22" t="str">
        <f>IF(StaffPayroll[[#This Row],[Employee ID Number / Code]]="","",IF(StaffPayroll[[#This Row],[Position / Title]]="","",VLOOKUP(StaffPayroll[[#This Row],[Position / Title]],Lists!A:C,2,FALSE)))</f>
        <v/>
      </c>
      <c r="N330" s="22">
        <f>IF(C330="",0,StaffPayroll[[#This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0" s="31">
        <f>IF(StaffPayroll[[#This Row],[Hourly WSB  Wage Minimum]]="",0,StaffPayroll[[#This Row],[Annual NF Wage Costs after WSB Minimum]]-StaffPayroll[[#This Row],[Annual NF Wage Costs before WSB Minimum]])</f>
        <v>0</v>
      </c>
      <c r="Q330" s="31">
        <f>IFERROR(IF(StaffPayroll[[#This Row],[Annual Cost of Wage Increase included in Rate Adjustment]]=0,0,P330*'Facility Info Input'!$F$10),0)</f>
        <v>0</v>
      </c>
      <c r="R330" s="32">
        <f>IFERROR(IF(StaffPayroll[[#This Row],[Annual Cost of Wage Increase included in Rate Adjustment]]=0,0,IF('Facility Info Input'!$F$11&lt;=0,0,P330*'Facility Info Input'!$F$11)),0)</f>
        <v>0</v>
      </c>
      <c r="S330" s="32">
        <f>IFERROR(IF(StaffPayroll[[#This Row],[Annual Cost of Wage Increase included in Rate Adjustment]]=0,0,IF('Facility Info Input'!$F$12&lt;=0,0,P330*'Facility Info Input'!$F$12)),0)</f>
        <v>0</v>
      </c>
      <c r="T330" s="32">
        <f t="shared" si="10"/>
        <v>0</v>
      </c>
      <c r="U330" s="33">
        <f t="shared" si="11"/>
        <v>0</v>
      </c>
    </row>
    <row r="331" spans="1:21">
      <c r="A331" s="76"/>
      <c r="B331" s="77"/>
      <c r="C331" s="81"/>
      <c r="D331" s="82"/>
      <c r="E331" s="82"/>
      <c r="F331" s="83"/>
      <c r="G331" s="84"/>
      <c r="H331" s="85"/>
      <c r="I331" s="71" t="e">
        <f>#REF!&amp;" "&amp;StaffPayroll[[#This Row],[Employee ID Number / Code]]</f>
        <v>#REF!</v>
      </c>
      <c r="J331" s="71" t="str">
        <f>_xlfn.IFNA(VLOOKUP(StaffPayroll[[#This Row],[Position / Title]],Lists!A:C,3,FALSE),"")</f>
        <v/>
      </c>
      <c r="K331" s="71">
        <f>StaffPayroll[[#This Row],[Payroll Period Ends Date (Minimum two months)]]-StaffPayroll[[#This Row],[Payroll Period Begins Date        (Must start after 6/1/2025)]]+1</f>
        <v>1</v>
      </c>
      <c r="L331" s="38">
        <f>IFERROR(IF(VLOOKUP(J331,'Facility Info Input'!$B$25:$D$34,3,FALSE)="",1,VLOOKUP(J331,'Facility Info Input'!$B$25:$D$34,3,FALSE)),0)</f>
        <v>0</v>
      </c>
      <c r="M331" s="22" t="str">
        <f>IF(StaffPayroll[[#This Row],[Employee ID Number / Code]]="","",IF(StaffPayroll[[#This Row],[Position / Title]]="","",VLOOKUP(StaffPayroll[[#This Row],[Position / Title]],Lists!A:C,2,FALSE)))</f>
        <v/>
      </c>
      <c r="N331" s="22">
        <f>IF(C331="",0,StaffPayroll[[#This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1" s="31">
        <f>IF(StaffPayroll[[#This Row],[Hourly WSB  Wage Minimum]]="",0,StaffPayroll[[#This Row],[Annual NF Wage Costs after WSB Minimum]]-StaffPayroll[[#This Row],[Annual NF Wage Costs before WSB Minimum]])</f>
        <v>0</v>
      </c>
      <c r="Q331" s="31">
        <f>IFERROR(IF(StaffPayroll[[#This Row],[Annual Cost of Wage Increase included in Rate Adjustment]]=0,0,P331*'Facility Info Input'!$F$10),0)</f>
        <v>0</v>
      </c>
      <c r="R331" s="32">
        <f>IFERROR(IF(StaffPayroll[[#This Row],[Annual Cost of Wage Increase included in Rate Adjustment]]=0,0,IF('Facility Info Input'!$F$11&lt;=0,0,P331*'Facility Info Input'!$F$11)),0)</f>
        <v>0</v>
      </c>
      <c r="S331" s="32">
        <f>IFERROR(IF(StaffPayroll[[#This Row],[Annual Cost of Wage Increase included in Rate Adjustment]]=0,0,IF('Facility Info Input'!$F$12&lt;=0,0,P331*'Facility Info Input'!$F$12)),0)</f>
        <v>0</v>
      </c>
      <c r="T331" s="32">
        <f t="shared" si="10"/>
        <v>0</v>
      </c>
      <c r="U331" s="33">
        <f t="shared" si="11"/>
        <v>0</v>
      </c>
    </row>
    <row r="332" spans="1:21">
      <c r="A332" s="76"/>
      <c r="B332" s="77"/>
      <c r="C332" s="81"/>
      <c r="D332" s="82"/>
      <c r="E332" s="82"/>
      <c r="F332" s="83"/>
      <c r="G332" s="84"/>
      <c r="H332" s="85"/>
      <c r="I332" s="71" t="e">
        <f>#REF!&amp;" "&amp;StaffPayroll[[#This Row],[Employee ID Number / Code]]</f>
        <v>#REF!</v>
      </c>
      <c r="J332" s="71" t="str">
        <f>_xlfn.IFNA(VLOOKUP(StaffPayroll[[#This Row],[Position / Title]],Lists!A:C,3,FALSE),"")</f>
        <v/>
      </c>
      <c r="K332" s="71">
        <f>StaffPayroll[[#This Row],[Payroll Period Ends Date (Minimum two months)]]-StaffPayroll[[#This Row],[Payroll Period Begins Date        (Must start after 6/1/2025)]]+1</f>
        <v>1</v>
      </c>
      <c r="L332" s="38">
        <f>IFERROR(IF(VLOOKUP(J332,'Facility Info Input'!$B$25:$D$34,3,FALSE)="",1,VLOOKUP(J332,'Facility Info Input'!$B$25:$D$34,3,FALSE)),0)</f>
        <v>0</v>
      </c>
      <c r="M332" s="22" t="str">
        <f>IF(StaffPayroll[[#This Row],[Employee ID Number / Code]]="","",IF(StaffPayroll[[#This Row],[Position / Title]]="","",VLOOKUP(StaffPayroll[[#This Row],[Position / Title]],Lists!A:C,2,FALSE)))</f>
        <v/>
      </c>
      <c r="N332" s="22">
        <f>IF(C332="",0,StaffPayroll[[#This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2" s="31">
        <f>IF(StaffPayroll[[#This Row],[Hourly WSB  Wage Minimum]]="",0,StaffPayroll[[#This Row],[Annual NF Wage Costs after WSB Minimum]]-StaffPayroll[[#This Row],[Annual NF Wage Costs before WSB Minimum]])</f>
        <v>0</v>
      </c>
      <c r="Q332" s="31">
        <f>IFERROR(IF(StaffPayroll[[#This Row],[Annual Cost of Wage Increase included in Rate Adjustment]]=0,0,P332*'Facility Info Input'!$F$10),0)</f>
        <v>0</v>
      </c>
      <c r="R332" s="32">
        <f>IFERROR(IF(StaffPayroll[[#This Row],[Annual Cost of Wage Increase included in Rate Adjustment]]=0,0,IF('Facility Info Input'!$F$11&lt;=0,0,P332*'Facility Info Input'!$F$11)),0)</f>
        <v>0</v>
      </c>
      <c r="S332" s="32">
        <f>IFERROR(IF(StaffPayroll[[#This Row],[Annual Cost of Wage Increase included in Rate Adjustment]]=0,0,IF('Facility Info Input'!$F$12&lt;=0,0,P332*'Facility Info Input'!$F$12)),0)</f>
        <v>0</v>
      </c>
      <c r="T332" s="32">
        <f t="shared" si="10"/>
        <v>0</v>
      </c>
      <c r="U332" s="33">
        <f t="shared" si="11"/>
        <v>0</v>
      </c>
    </row>
    <row r="333" spans="1:21">
      <c r="A333" s="76"/>
      <c r="B333" s="77"/>
      <c r="C333" s="81"/>
      <c r="D333" s="82"/>
      <c r="E333" s="82"/>
      <c r="F333" s="83"/>
      <c r="G333" s="84"/>
      <c r="H333" s="85"/>
      <c r="I333" s="71" t="e">
        <f>#REF!&amp;" "&amp;StaffPayroll[[#This Row],[Employee ID Number / Code]]</f>
        <v>#REF!</v>
      </c>
      <c r="J333" s="71" t="str">
        <f>_xlfn.IFNA(VLOOKUP(StaffPayroll[[#This Row],[Position / Title]],Lists!A:C,3,FALSE),"")</f>
        <v/>
      </c>
      <c r="K333" s="71">
        <f>StaffPayroll[[#This Row],[Payroll Period Ends Date (Minimum two months)]]-StaffPayroll[[#This Row],[Payroll Period Begins Date        (Must start after 6/1/2025)]]+1</f>
        <v>1</v>
      </c>
      <c r="L333" s="38">
        <f>IFERROR(IF(VLOOKUP(J333,'Facility Info Input'!$B$25:$D$34,3,FALSE)="",1,VLOOKUP(J333,'Facility Info Input'!$B$25:$D$34,3,FALSE)),0)</f>
        <v>0</v>
      </c>
      <c r="M333" s="22" t="str">
        <f>IF(StaffPayroll[[#This Row],[Employee ID Number / Code]]="","",IF(StaffPayroll[[#This Row],[Position / Title]]="","",VLOOKUP(StaffPayroll[[#This Row],[Position / Title]],Lists!A:C,2,FALSE)))</f>
        <v/>
      </c>
      <c r="N333" s="22">
        <f>IF(C333="",0,StaffPayroll[[#This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3" s="31">
        <f>IF(StaffPayroll[[#This Row],[Hourly WSB  Wage Minimum]]="",0,StaffPayroll[[#This Row],[Annual NF Wage Costs after WSB Minimum]]-StaffPayroll[[#This Row],[Annual NF Wage Costs before WSB Minimum]])</f>
        <v>0</v>
      </c>
      <c r="Q333" s="31">
        <f>IFERROR(IF(StaffPayroll[[#This Row],[Annual Cost of Wage Increase included in Rate Adjustment]]=0,0,P333*'Facility Info Input'!$F$10),0)</f>
        <v>0</v>
      </c>
      <c r="R333" s="32">
        <f>IFERROR(IF(StaffPayroll[[#This Row],[Annual Cost of Wage Increase included in Rate Adjustment]]=0,0,IF('Facility Info Input'!$F$11&lt;=0,0,P333*'Facility Info Input'!$F$11)),0)</f>
        <v>0</v>
      </c>
      <c r="S333" s="32">
        <f>IFERROR(IF(StaffPayroll[[#This Row],[Annual Cost of Wage Increase included in Rate Adjustment]]=0,0,IF('Facility Info Input'!$F$12&lt;=0,0,P333*'Facility Info Input'!$F$12)),0)</f>
        <v>0</v>
      </c>
      <c r="T333" s="32">
        <f t="shared" si="10"/>
        <v>0</v>
      </c>
      <c r="U333" s="33">
        <f t="shared" si="11"/>
        <v>0</v>
      </c>
    </row>
    <row r="334" spans="1:21">
      <c r="A334" s="76"/>
      <c r="B334" s="77"/>
      <c r="C334" s="81"/>
      <c r="D334" s="82"/>
      <c r="E334" s="82"/>
      <c r="F334" s="83"/>
      <c r="G334" s="84"/>
      <c r="H334" s="85"/>
      <c r="I334" s="71" t="e">
        <f>#REF!&amp;" "&amp;StaffPayroll[[#This Row],[Employee ID Number / Code]]</f>
        <v>#REF!</v>
      </c>
      <c r="J334" s="71" t="str">
        <f>_xlfn.IFNA(VLOOKUP(StaffPayroll[[#This Row],[Position / Title]],Lists!A:C,3,FALSE),"")</f>
        <v/>
      </c>
      <c r="K334" s="71">
        <f>StaffPayroll[[#This Row],[Payroll Period Ends Date (Minimum two months)]]-StaffPayroll[[#This Row],[Payroll Period Begins Date        (Must start after 6/1/2025)]]+1</f>
        <v>1</v>
      </c>
      <c r="L334" s="38">
        <f>IFERROR(IF(VLOOKUP(J334,'Facility Info Input'!$B$25:$D$34,3,FALSE)="",1,VLOOKUP(J334,'Facility Info Input'!$B$25:$D$34,3,FALSE)),0)</f>
        <v>0</v>
      </c>
      <c r="M334" s="22" t="str">
        <f>IF(StaffPayroll[[#This Row],[Employee ID Number / Code]]="","",IF(StaffPayroll[[#This Row],[Position / Title]]="","",VLOOKUP(StaffPayroll[[#This Row],[Position / Title]],Lists!A:C,2,FALSE)))</f>
        <v/>
      </c>
      <c r="N334" s="22">
        <f>IF(C334="",0,StaffPayroll[[#This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4" s="31">
        <f>IF(StaffPayroll[[#This Row],[Hourly WSB  Wage Minimum]]="",0,StaffPayroll[[#This Row],[Annual NF Wage Costs after WSB Minimum]]-StaffPayroll[[#This Row],[Annual NF Wage Costs before WSB Minimum]])</f>
        <v>0</v>
      </c>
      <c r="Q334" s="31">
        <f>IFERROR(IF(StaffPayroll[[#This Row],[Annual Cost of Wage Increase included in Rate Adjustment]]=0,0,P334*'Facility Info Input'!$F$10),0)</f>
        <v>0</v>
      </c>
      <c r="R334" s="32">
        <f>IFERROR(IF(StaffPayroll[[#This Row],[Annual Cost of Wage Increase included in Rate Adjustment]]=0,0,IF('Facility Info Input'!$F$11&lt;=0,0,P334*'Facility Info Input'!$F$11)),0)</f>
        <v>0</v>
      </c>
      <c r="S334" s="32">
        <f>IFERROR(IF(StaffPayroll[[#This Row],[Annual Cost of Wage Increase included in Rate Adjustment]]=0,0,IF('Facility Info Input'!$F$12&lt;=0,0,P334*'Facility Info Input'!$F$12)),0)</f>
        <v>0</v>
      </c>
      <c r="T334" s="32">
        <f t="shared" si="10"/>
        <v>0</v>
      </c>
      <c r="U334" s="33">
        <f t="shared" si="11"/>
        <v>0</v>
      </c>
    </row>
    <row r="335" spans="1:21">
      <c r="A335" s="76"/>
      <c r="B335" s="77"/>
      <c r="C335" s="81"/>
      <c r="D335" s="82"/>
      <c r="E335" s="82"/>
      <c r="F335" s="83"/>
      <c r="G335" s="84"/>
      <c r="H335" s="85"/>
      <c r="I335" s="71" t="e">
        <f>#REF!&amp;" "&amp;StaffPayroll[[#This Row],[Employee ID Number / Code]]</f>
        <v>#REF!</v>
      </c>
      <c r="J335" s="71" t="str">
        <f>_xlfn.IFNA(VLOOKUP(StaffPayroll[[#This Row],[Position / Title]],Lists!A:C,3,FALSE),"")</f>
        <v/>
      </c>
      <c r="K335" s="71">
        <f>StaffPayroll[[#This Row],[Payroll Period Ends Date (Minimum two months)]]-StaffPayroll[[#This Row],[Payroll Period Begins Date        (Must start after 6/1/2025)]]+1</f>
        <v>1</v>
      </c>
      <c r="L335" s="38">
        <f>IFERROR(IF(VLOOKUP(J335,'Facility Info Input'!$B$25:$D$34,3,FALSE)="",1,VLOOKUP(J335,'Facility Info Input'!$B$25:$D$34,3,FALSE)),0)</f>
        <v>0</v>
      </c>
      <c r="M335" s="22" t="str">
        <f>IF(StaffPayroll[[#This Row],[Employee ID Number / Code]]="","",IF(StaffPayroll[[#This Row],[Position / Title]]="","",VLOOKUP(StaffPayroll[[#This Row],[Position / Title]],Lists!A:C,2,FALSE)))</f>
        <v/>
      </c>
      <c r="N335" s="22">
        <f>IF(C335="",0,StaffPayroll[[#This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5" s="31">
        <f>IF(StaffPayroll[[#This Row],[Hourly WSB  Wage Minimum]]="",0,StaffPayroll[[#This Row],[Annual NF Wage Costs after WSB Minimum]]-StaffPayroll[[#This Row],[Annual NF Wage Costs before WSB Minimum]])</f>
        <v>0</v>
      </c>
      <c r="Q335" s="31">
        <f>IFERROR(IF(StaffPayroll[[#This Row],[Annual Cost of Wage Increase included in Rate Adjustment]]=0,0,P335*'Facility Info Input'!$F$10),0)</f>
        <v>0</v>
      </c>
      <c r="R335" s="32">
        <f>IFERROR(IF(StaffPayroll[[#This Row],[Annual Cost of Wage Increase included in Rate Adjustment]]=0,0,IF('Facility Info Input'!$F$11&lt;=0,0,P335*'Facility Info Input'!$F$11)),0)</f>
        <v>0</v>
      </c>
      <c r="S335" s="32">
        <f>IFERROR(IF(StaffPayroll[[#This Row],[Annual Cost of Wage Increase included in Rate Adjustment]]=0,0,IF('Facility Info Input'!$F$12&lt;=0,0,P335*'Facility Info Input'!$F$12)),0)</f>
        <v>0</v>
      </c>
      <c r="T335" s="32">
        <f t="shared" si="10"/>
        <v>0</v>
      </c>
      <c r="U335" s="33">
        <f t="shared" si="11"/>
        <v>0</v>
      </c>
    </row>
    <row r="336" spans="1:21">
      <c r="A336" s="76"/>
      <c r="B336" s="77"/>
      <c r="C336" s="81"/>
      <c r="D336" s="82"/>
      <c r="E336" s="82"/>
      <c r="F336" s="83"/>
      <c r="G336" s="84"/>
      <c r="H336" s="85"/>
      <c r="I336" s="71" t="e">
        <f>#REF!&amp;" "&amp;StaffPayroll[[#This Row],[Employee ID Number / Code]]</f>
        <v>#REF!</v>
      </c>
      <c r="J336" s="71" t="str">
        <f>_xlfn.IFNA(VLOOKUP(StaffPayroll[[#This Row],[Position / Title]],Lists!A:C,3,FALSE),"")</f>
        <v/>
      </c>
      <c r="K336" s="71">
        <f>StaffPayroll[[#This Row],[Payroll Period Ends Date (Minimum two months)]]-StaffPayroll[[#This Row],[Payroll Period Begins Date        (Must start after 6/1/2025)]]+1</f>
        <v>1</v>
      </c>
      <c r="L336" s="38">
        <f>IFERROR(IF(VLOOKUP(J336,'Facility Info Input'!$B$25:$D$34,3,FALSE)="",1,VLOOKUP(J336,'Facility Info Input'!$B$25:$D$34,3,FALSE)),0)</f>
        <v>0</v>
      </c>
      <c r="M336" s="22" t="str">
        <f>IF(StaffPayroll[[#This Row],[Employee ID Number / Code]]="","",IF(StaffPayroll[[#This Row],[Position / Title]]="","",VLOOKUP(StaffPayroll[[#This Row],[Position / Title]],Lists!A:C,2,FALSE)))</f>
        <v/>
      </c>
      <c r="N336" s="22">
        <f>IF(C336="",0,StaffPayroll[[#This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6" s="31">
        <f>IF(StaffPayroll[[#This Row],[Hourly WSB  Wage Minimum]]="",0,StaffPayroll[[#This Row],[Annual NF Wage Costs after WSB Minimum]]-StaffPayroll[[#This Row],[Annual NF Wage Costs before WSB Minimum]])</f>
        <v>0</v>
      </c>
      <c r="Q336" s="31">
        <f>IFERROR(IF(StaffPayroll[[#This Row],[Annual Cost of Wage Increase included in Rate Adjustment]]=0,0,P336*'Facility Info Input'!$F$10),0)</f>
        <v>0</v>
      </c>
      <c r="R336" s="32">
        <f>IFERROR(IF(StaffPayroll[[#This Row],[Annual Cost of Wage Increase included in Rate Adjustment]]=0,0,IF('Facility Info Input'!$F$11&lt;=0,0,P336*'Facility Info Input'!$F$11)),0)</f>
        <v>0</v>
      </c>
      <c r="S336" s="32">
        <f>IFERROR(IF(StaffPayroll[[#This Row],[Annual Cost of Wage Increase included in Rate Adjustment]]=0,0,IF('Facility Info Input'!$F$12&lt;=0,0,P336*'Facility Info Input'!$F$12)),0)</f>
        <v>0</v>
      </c>
      <c r="T336" s="32">
        <f t="shared" si="10"/>
        <v>0</v>
      </c>
      <c r="U336" s="33">
        <f t="shared" si="11"/>
        <v>0</v>
      </c>
    </row>
    <row r="337" spans="1:21">
      <c r="A337" s="76"/>
      <c r="B337" s="77"/>
      <c r="C337" s="81"/>
      <c r="D337" s="82"/>
      <c r="E337" s="82"/>
      <c r="F337" s="83"/>
      <c r="G337" s="84"/>
      <c r="H337" s="85"/>
      <c r="I337" s="71" t="e">
        <f>#REF!&amp;" "&amp;StaffPayroll[[#This Row],[Employee ID Number / Code]]</f>
        <v>#REF!</v>
      </c>
      <c r="J337" s="71" t="str">
        <f>_xlfn.IFNA(VLOOKUP(StaffPayroll[[#This Row],[Position / Title]],Lists!A:C,3,FALSE),"")</f>
        <v/>
      </c>
      <c r="K337" s="71">
        <f>StaffPayroll[[#This Row],[Payroll Period Ends Date (Minimum two months)]]-StaffPayroll[[#This Row],[Payroll Period Begins Date        (Must start after 6/1/2025)]]+1</f>
        <v>1</v>
      </c>
      <c r="L337" s="38">
        <f>IFERROR(IF(VLOOKUP(J337,'Facility Info Input'!$B$25:$D$34,3,FALSE)="",1,VLOOKUP(J337,'Facility Info Input'!$B$25:$D$34,3,FALSE)),0)</f>
        <v>0</v>
      </c>
      <c r="M337" s="22" t="str">
        <f>IF(StaffPayroll[[#This Row],[Employee ID Number / Code]]="","",IF(StaffPayroll[[#This Row],[Position / Title]]="","",VLOOKUP(StaffPayroll[[#This Row],[Position / Title]],Lists!A:C,2,FALSE)))</f>
        <v/>
      </c>
      <c r="N337" s="22">
        <f>IF(C337="",0,StaffPayroll[[#This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7" s="31">
        <f>IF(StaffPayroll[[#This Row],[Hourly WSB  Wage Minimum]]="",0,StaffPayroll[[#This Row],[Annual NF Wage Costs after WSB Minimum]]-StaffPayroll[[#This Row],[Annual NF Wage Costs before WSB Minimum]])</f>
        <v>0</v>
      </c>
      <c r="Q337" s="31">
        <f>IFERROR(IF(StaffPayroll[[#This Row],[Annual Cost of Wage Increase included in Rate Adjustment]]=0,0,P337*'Facility Info Input'!$F$10),0)</f>
        <v>0</v>
      </c>
      <c r="R337" s="32">
        <f>IFERROR(IF(StaffPayroll[[#This Row],[Annual Cost of Wage Increase included in Rate Adjustment]]=0,0,IF('Facility Info Input'!$F$11&lt;=0,0,P337*'Facility Info Input'!$F$11)),0)</f>
        <v>0</v>
      </c>
      <c r="S337" s="32">
        <f>IFERROR(IF(StaffPayroll[[#This Row],[Annual Cost of Wage Increase included in Rate Adjustment]]=0,0,IF('Facility Info Input'!$F$12&lt;=0,0,P337*'Facility Info Input'!$F$12)),0)</f>
        <v>0</v>
      </c>
      <c r="T337" s="32">
        <f t="shared" si="10"/>
        <v>0</v>
      </c>
      <c r="U337" s="33">
        <f t="shared" si="11"/>
        <v>0</v>
      </c>
    </row>
    <row r="338" spans="1:21">
      <c r="A338" s="76"/>
      <c r="B338" s="77"/>
      <c r="C338" s="81"/>
      <c r="D338" s="82"/>
      <c r="E338" s="82"/>
      <c r="F338" s="83"/>
      <c r="G338" s="84"/>
      <c r="H338" s="85"/>
      <c r="I338" s="71" t="e">
        <f>#REF!&amp;" "&amp;StaffPayroll[[#This Row],[Employee ID Number / Code]]</f>
        <v>#REF!</v>
      </c>
      <c r="J338" s="71" t="str">
        <f>_xlfn.IFNA(VLOOKUP(StaffPayroll[[#This Row],[Position / Title]],Lists!A:C,3,FALSE),"")</f>
        <v/>
      </c>
      <c r="K338" s="71">
        <f>StaffPayroll[[#This Row],[Payroll Period Ends Date (Minimum two months)]]-StaffPayroll[[#This Row],[Payroll Period Begins Date        (Must start after 6/1/2025)]]+1</f>
        <v>1</v>
      </c>
      <c r="L338" s="38">
        <f>IFERROR(IF(VLOOKUP(J338,'Facility Info Input'!$B$25:$D$34,3,FALSE)="",1,VLOOKUP(J338,'Facility Info Input'!$B$25:$D$34,3,FALSE)),0)</f>
        <v>0</v>
      </c>
      <c r="M338" s="22" t="str">
        <f>IF(StaffPayroll[[#This Row],[Employee ID Number / Code]]="","",IF(StaffPayroll[[#This Row],[Position / Title]]="","",VLOOKUP(StaffPayroll[[#This Row],[Position / Title]],Lists!A:C,2,FALSE)))</f>
        <v/>
      </c>
      <c r="N338" s="22">
        <f>IF(C338="",0,StaffPayroll[[#This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8" s="31">
        <f>IF(StaffPayroll[[#This Row],[Hourly WSB  Wage Minimum]]="",0,StaffPayroll[[#This Row],[Annual NF Wage Costs after WSB Minimum]]-StaffPayroll[[#This Row],[Annual NF Wage Costs before WSB Minimum]])</f>
        <v>0</v>
      </c>
      <c r="Q338" s="31">
        <f>IFERROR(IF(StaffPayroll[[#This Row],[Annual Cost of Wage Increase included in Rate Adjustment]]=0,0,P338*'Facility Info Input'!$F$10),0)</f>
        <v>0</v>
      </c>
      <c r="R338" s="32">
        <f>IFERROR(IF(StaffPayroll[[#This Row],[Annual Cost of Wage Increase included in Rate Adjustment]]=0,0,IF('Facility Info Input'!$F$11&lt;=0,0,P338*'Facility Info Input'!$F$11)),0)</f>
        <v>0</v>
      </c>
      <c r="S338" s="32">
        <f>IFERROR(IF(StaffPayroll[[#This Row],[Annual Cost of Wage Increase included in Rate Adjustment]]=0,0,IF('Facility Info Input'!$F$12&lt;=0,0,P338*'Facility Info Input'!$F$12)),0)</f>
        <v>0</v>
      </c>
      <c r="T338" s="32">
        <f t="shared" si="10"/>
        <v>0</v>
      </c>
      <c r="U338" s="33">
        <f t="shared" si="11"/>
        <v>0</v>
      </c>
    </row>
    <row r="339" spans="1:21">
      <c r="A339" s="76"/>
      <c r="B339" s="77"/>
      <c r="C339" s="81"/>
      <c r="D339" s="82"/>
      <c r="E339" s="82"/>
      <c r="F339" s="83"/>
      <c r="G339" s="84"/>
      <c r="H339" s="85"/>
      <c r="I339" s="71" t="e">
        <f>#REF!&amp;" "&amp;StaffPayroll[[#This Row],[Employee ID Number / Code]]</f>
        <v>#REF!</v>
      </c>
      <c r="J339" s="71" t="str">
        <f>_xlfn.IFNA(VLOOKUP(StaffPayroll[[#This Row],[Position / Title]],Lists!A:C,3,FALSE),"")</f>
        <v/>
      </c>
      <c r="K339" s="71">
        <f>StaffPayroll[[#This Row],[Payroll Period Ends Date (Minimum two months)]]-StaffPayroll[[#This Row],[Payroll Period Begins Date        (Must start after 6/1/2025)]]+1</f>
        <v>1</v>
      </c>
      <c r="L339" s="38">
        <f>IFERROR(IF(VLOOKUP(J339,'Facility Info Input'!$B$25:$D$34,3,FALSE)="",1,VLOOKUP(J339,'Facility Info Input'!$B$25:$D$34,3,FALSE)),0)</f>
        <v>0</v>
      </c>
      <c r="M339" s="22" t="str">
        <f>IF(StaffPayroll[[#This Row],[Employee ID Number / Code]]="","",IF(StaffPayroll[[#This Row],[Position / Title]]="","",VLOOKUP(StaffPayroll[[#This Row],[Position / Title]],Lists!A:C,2,FALSE)))</f>
        <v/>
      </c>
      <c r="N339" s="22">
        <f>IF(C339="",0,StaffPayroll[[#This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3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39" s="31">
        <f>IF(StaffPayroll[[#This Row],[Hourly WSB  Wage Minimum]]="",0,StaffPayroll[[#This Row],[Annual NF Wage Costs after WSB Minimum]]-StaffPayroll[[#This Row],[Annual NF Wage Costs before WSB Minimum]])</f>
        <v>0</v>
      </c>
      <c r="Q339" s="31">
        <f>IFERROR(IF(StaffPayroll[[#This Row],[Annual Cost of Wage Increase included in Rate Adjustment]]=0,0,P339*'Facility Info Input'!$F$10),0)</f>
        <v>0</v>
      </c>
      <c r="R339" s="32">
        <f>IFERROR(IF(StaffPayroll[[#This Row],[Annual Cost of Wage Increase included in Rate Adjustment]]=0,0,IF('Facility Info Input'!$F$11&lt;=0,0,P339*'Facility Info Input'!$F$11)),0)</f>
        <v>0</v>
      </c>
      <c r="S339" s="32">
        <f>IFERROR(IF(StaffPayroll[[#This Row],[Annual Cost of Wage Increase included in Rate Adjustment]]=0,0,IF('Facility Info Input'!$F$12&lt;=0,0,P339*'Facility Info Input'!$F$12)),0)</f>
        <v>0</v>
      </c>
      <c r="T339" s="32">
        <f t="shared" si="10"/>
        <v>0</v>
      </c>
      <c r="U339" s="33">
        <f t="shared" si="11"/>
        <v>0</v>
      </c>
    </row>
    <row r="340" spans="1:21">
      <c r="A340" s="76"/>
      <c r="B340" s="77"/>
      <c r="C340" s="81"/>
      <c r="D340" s="82"/>
      <c r="E340" s="82"/>
      <c r="F340" s="83"/>
      <c r="G340" s="84"/>
      <c r="H340" s="85"/>
      <c r="I340" s="71" t="e">
        <f>#REF!&amp;" "&amp;StaffPayroll[[#This Row],[Employee ID Number / Code]]</f>
        <v>#REF!</v>
      </c>
      <c r="J340" s="71" t="str">
        <f>_xlfn.IFNA(VLOOKUP(StaffPayroll[[#This Row],[Position / Title]],Lists!A:C,3,FALSE),"")</f>
        <v/>
      </c>
      <c r="K340" s="71">
        <f>StaffPayroll[[#This Row],[Payroll Period Ends Date (Minimum two months)]]-StaffPayroll[[#This Row],[Payroll Period Begins Date        (Must start after 6/1/2025)]]+1</f>
        <v>1</v>
      </c>
      <c r="L340" s="38">
        <f>IFERROR(IF(VLOOKUP(J340,'Facility Info Input'!$B$25:$D$34,3,FALSE)="",1,VLOOKUP(J340,'Facility Info Input'!$B$25:$D$34,3,FALSE)),0)</f>
        <v>0</v>
      </c>
      <c r="M340" s="22" t="str">
        <f>IF(StaffPayroll[[#This Row],[Employee ID Number / Code]]="","",IF(StaffPayroll[[#This Row],[Position / Title]]="","",VLOOKUP(StaffPayroll[[#This Row],[Position / Title]],Lists!A:C,2,FALSE)))</f>
        <v/>
      </c>
      <c r="N340" s="22">
        <f>IF(C340="",0,StaffPayroll[[#This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0" s="31">
        <f>IF(StaffPayroll[[#This Row],[Hourly WSB  Wage Minimum]]="",0,StaffPayroll[[#This Row],[Annual NF Wage Costs after WSB Minimum]]-StaffPayroll[[#This Row],[Annual NF Wage Costs before WSB Minimum]])</f>
        <v>0</v>
      </c>
      <c r="Q340" s="31">
        <f>IFERROR(IF(StaffPayroll[[#This Row],[Annual Cost of Wage Increase included in Rate Adjustment]]=0,0,P340*'Facility Info Input'!$F$10),0)</f>
        <v>0</v>
      </c>
      <c r="R340" s="32">
        <f>IFERROR(IF(StaffPayroll[[#This Row],[Annual Cost of Wage Increase included in Rate Adjustment]]=0,0,IF('Facility Info Input'!$F$11&lt;=0,0,P340*'Facility Info Input'!$F$11)),0)</f>
        <v>0</v>
      </c>
      <c r="S340" s="32">
        <f>IFERROR(IF(StaffPayroll[[#This Row],[Annual Cost of Wage Increase included in Rate Adjustment]]=0,0,IF('Facility Info Input'!$F$12&lt;=0,0,P340*'Facility Info Input'!$F$12)),0)</f>
        <v>0</v>
      </c>
      <c r="T340" s="32">
        <f t="shared" si="10"/>
        <v>0</v>
      </c>
      <c r="U340" s="33">
        <f t="shared" si="11"/>
        <v>0</v>
      </c>
    </row>
    <row r="341" spans="1:21">
      <c r="A341" s="76"/>
      <c r="B341" s="77"/>
      <c r="C341" s="81"/>
      <c r="D341" s="82"/>
      <c r="E341" s="82"/>
      <c r="F341" s="83"/>
      <c r="G341" s="84"/>
      <c r="H341" s="85"/>
      <c r="I341" s="71" t="e">
        <f>#REF!&amp;" "&amp;StaffPayroll[[#This Row],[Employee ID Number / Code]]</f>
        <v>#REF!</v>
      </c>
      <c r="J341" s="71" t="str">
        <f>_xlfn.IFNA(VLOOKUP(StaffPayroll[[#This Row],[Position / Title]],Lists!A:C,3,FALSE),"")</f>
        <v/>
      </c>
      <c r="K341" s="71">
        <f>StaffPayroll[[#This Row],[Payroll Period Ends Date (Minimum two months)]]-StaffPayroll[[#This Row],[Payroll Period Begins Date        (Must start after 6/1/2025)]]+1</f>
        <v>1</v>
      </c>
      <c r="L341" s="38">
        <f>IFERROR(IF(VLOOKUP(J341,'Facility Info Input'!$B$25:$D$34,3,FALSE)="",1,VLOOKUP(J341,'Facility Info Input'!$B$25:$D$34,3,FALSE)),0)</f>
        <v>0</v>
      </c>
      <c r="M341" s="22" t="str">
        <f>IF(StaffPayroll[[#This Row],[Employee ID Number / Code]]="","",IF(StaffPayroll[[#This Row],[Position / Title]]="","",VLOOKUP(StaffPayroll[[#This Row],[Position / Title]],Lists!A:C,2,FALSE)))</f>
        <v/>
      </c>
      <c r="N341" s="22">
        <f>IF(C341="",0,StaffPayroll[[#This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1" s="31">
        <f>IF(StaffPayroll[[#This Row],[Hourly WSB  Wage Minimum]]="",0,StaffPayroll[[#This Row],[Annual NF Wage Costs after WSB Minimum]]-StaffPayroll[[#This Row],[Annual NF Wage Costs before WSB Minimum]])</f>
        <v>0</v>
      </c>
      <c r="Q341" s="31">
        <f>IFERROR(IF(StaffPayroll[[#This Row],[Annual Cost of Wage Increase included in Rate Adjustment]]=0,0,P341*'Facility Info Input'!$F$10),0)</f>
        <v>0</v>
      </c>
      <c r="R341" s="32">
        <f>IFERROR(IF(StaffPayroll[[#This Row],[Annual Cost of Wage Increase included in Rate Adjustment]]=0,0,IF('Facility Info Input'!$F$11&lt;=0,0,P341*'Facility Info Input'!$F$11)),0)</f>
        <v>0</v>
      </c>
      <c r="S341" s="32">
        <f>IFERROR(IF(StaffPayroll[[#This Row],[Annual Cost of Wage Increase included in Rate Adjustment]]=0,0,IF('Facility Info Input'!$F$12&lt;=0,0,P341*'Facility Info Input'!$F$12)),0)</f>
        <v>0</v>
      </c>
      <c r="T341" s="32">
        <f t="shared" si="10"/>
        <v>0</v>
      </c>
      <c r="U341" s="33">
        <f t="shared" si="11"/>
        <v>0</v>
      </c>
    </row>
    <row r="342" spans="1:21">
      <c r="A342" s="76"/>
      <c r="B342" s="77"/>
      <c r="C342" s="81"/>
      <c r="D342" s="82"/>
      <c r="E342" s="82"/>
      <c r="F342" s="83"/>
      <c r="G342" s="84"/>
      <c r="H342" s="85"/>
      <c r="I342" s="71" t="e">
        <f>#REF!&amp;" "&amp;StaffPayroll[[#This Row],[Employee ID Number / Code]]</f>
        <v>#REF!</v>
      </c>
      <c r="J342" s="71" t="str">
        <f>_xlfn.IFNA(VLOOKUP(StaffPayroll[[#This Row],[Position / Title]],Lists!A:C,3,FALSE),"")</f>
        <v/>
      </c>
      <c r="K342" s="71">
        <f>StaffPayroll[[#This Row],[Payroll Period Ends Date (Minimum two months)]]-StaffPayroll[[#This Row],[Payroll Period Begins Date        (Must start after 6/1/2025)]]+1</f>
        <v>1</v>
      </c>
      <c r="L342" s="38">
        <f>IFERROR(IF(VLOOKUP(J342,'Facility Info Input'!$B$25:$D$34,3,FALSE)="",1,VLOOKUP(J342,'Facility Info Input'!$B$25:$D$34,3,FALSE)),0)</f>
        <v>0</v>
      </c>
      <c r="M342" s="22" t="str">
        <f>IF(StaffPayroll[[#This Row],[Employee ID Number / Code]]="","",IF(StaffPayroll[[#This Row],[Position / Title]]="","",VLOOKUP(StaffPayroll[[#This Row],[Position / Title]],Lists!A:C,2,FALSE)))</f>
        <v/>
      </c>
      <c r="N342" s="22">
        <f>IF(C342="",0,StaffPayroll[[#This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2" s="31">
        <f>IF(StaffPayroll[[#This Row],[Hourly WSB  Wage Minimum]]="",0,StaffPayroll[[#This Row],[Annual NF Wage Costs after WSB Minimum]]-StaffPayroll[[#This Row],[Annual NF Wage Costs before WSB Minimum]])</f>
        <v>0</v>
      </c>
      <c r="Q342" s="31">
        <f>IFERROR(IF(StaffPayroll[[#This Row],[Annual Cost of Wage Increase included in Rate Adjustment]]=0,0,P342*'Facility Info Input'!$F$10),0)</f>
        <v>0</v>
      </c>
      <c r="R342" s="32">
        <f>IFERROR(IF(StaffPayroll[[#This Row],[Annual Cost of Wage Increase included in Rate Adjustment]]=0,0,IF('Facility Info Input'!$F$11&lt;=0,0,P342*'Facility Info Input'!$F$11)),0)</f>
        <v>0</v>
      </c>
      <c r="S342" s="32">
        <f>IFERROR(IF(StaffPayroll[[#This Row],[Annual Cost of Wage Increase included in Rate Adjustment]]=0,0,IF('Facility Info Input'!$F$12&lt;=0,0,P342*'Facility Info Input'!$F$12)),0)</f>
        <v>0</v>
      </c>
      <c r="T342" s="32">
        <f t="shared" si="10"/>
        <v>0</v>
      </c>
      <c r="U342" s="33">
        <f t="shared" si="11"/>
        <v>0</v>
      </c>
    </row>
    <row r="343" spans="1:21">
      <c r="A343" s="76"/>
      <c r="B343" s="77"/>
      <c r="C343" s="81"/>
      <c r="D343" s="82"/>
      <c r="E343" s="82"/>
      <c r="F343" s="83"/>
      <c r="G343" s="84"/>
      <c r="H343" s="85"/>
      <c r="I343" s="71" t="e">
        <f>#REF!&amp;" "&amp;StaffPayroll[[#This Row],[Employee ID Number / Code]]</f>
        <v>#REF!</v>
      </c>
      <c r="J343" s="71" t="str">
        <f>_xlfn.IFNA(VLOOKUP(StaffPayroll[[#This Row],[Position / Title]],Lists!A:C,3,FALSE),"")</f>
        <v/>
      </c>
      <c r="K343" s="71">
        <f>StaffPayroll[[#This Row],[Payroll Period Ends Date (Minimum two months)]]-StaffPayroll[[#This Row],[Payroll Period Begins Date        (Must start after 6/1/2025)]]+1</f>
        <v>1</v>
      </c>
      <c r="L343" s="38">
        <f>IFERROR(IF(VLOOKUP(J343,'Facility Info Input'!$B$25:$D$34,3,FALSE)="",1,VLOOKUP(J343,'Facility Info Input'!$B$25:$D$34,3,FALSE)),0)</f>
        <v>0</v>
      </c>
      <c r="M343" s="22" t="str">
        <f>IF(StaffPayroll[[#This Row],[Employee ID Number / Code]]="","",IF(StaffPayroll[[#This Row],[Position / Title]]="","",VLOOKUP(StaffPayroll[[#This Row],[Position / Title]],Lists!A:C,2,FALSE)))</f>
        <v/>
      </c>
      <c r="N343" s="22">
        <f>IF(C343="",0,StaffPayroll[[#This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3" s="31">
        <f>IF(StaffPayroll[[#This Row],[Hourly WSB  Wage Minimum]]="",0,StaffPayroll[[#This Row],[Annual NF Wage Costs after WSB Minimum]]-StaffPayroll[[#This Row],[Annual NF Wage Costs before WSB Minimum]])</f>
        <v>0</v>
      </c>
      <c r="Q343" s="31">
        <f>IFERROR(IF(StaffPayroll[[#This Row],[Annual Cost of Wage Increase included in Rate Adjustment]]=0,0,P343*'Facility Info Input'!$F$10),0)</f>
        <v>0</v>
      </c>
      <c r="R343" s="32">
        <f>IFERROR(IF(StaffPayroll[[#This Row],[Annual Cost of Wage Increase included in Rate Adjustment]]=0,0,IF('Facility Info Input'!$F$11&lt;=0,0,P343*'Facility Info Input'!$F$11)),0)</f>
        <v>0</v>
      </c>
      <c r="S343" s="32">
        <f>IFERROR(IF(StaffPayroll[[#This Row],[Annual Cost of Wage Increase included in Rate Adjustment]]=0,0,IF('Facility Info Input'!$F$12&lt;=0,0,P343*'Facility Info Input'!$F$12)),0)</f>
        <v>0</v>
      </c>
      <c r="T343" s="32">
        <f t="shared" si="10"/>
        <v>0</v>
      </c>
      <c r="U343" s="33">
        <f t="shared" si="11"/>
        <v>0</v>
      </c>
    </row>
    <row r="344" spans="1:21">
      <c r="A344" s="76"/>
      <c r="B344" s="77"/>
      <c r="C344" s="81"/>
      <c r="D344" s="82"/>
      <c r="E344" s="82"/>
      <c r="F344" s="83"/>
      <c r="G344" s="84"/>
      <c r="H344" s="85"/>
      <c r="I344" s="71" t="e">
        <f>#REF!&amp;" "&amp;StaffPayroll[[#This Row],[Employee ID Number / Code]]</f>
        <v>#REF!</v>
      </c>
      <c r="J344" s="71" t="str">
        <f>_xlfn.IFNA(VLOOKUP(StaffPayroll[[#This Row],[Position / Title]],Lists!A:C,3,FALSE),"")</f>
        <v/>
      </c>
      <c r="K344" s="71">
        <f>StaffPayroll[[#This Row],[Payroll Period Ends Date (Minimum two months)]]-StaffPayroll[[#This Row],[Payroll Period Begins Date        (Must start after 6/1/2025)]]+1</f>
        <v>1</v>
      </c>
      <c r="L344" s="38">
        <f>IFERROR(IF(VLOOKUP(J344,'Facility Info Input'!$B$25:$D$34,3,FALSE)="",1,VLOOKUP(J344,'Facility Info Input'!$B$25:$D$34,3,FALSE)),0)</f>
        <v>0</v>
      </c>
      <c r="M344" s="22" t="str">
        <f>IF(StaffPayroll[[#This Row],[Employee ID Number / Code]]="","",IF(StaffPayroll[[#This Row],[Position / Title]]="","",VLOOKUP(StaffPayroll[[#This Row],[Position / Title]],Lists!A:C,2,FALSE)))</f>
        <v/>
      </c>
      <c r="N344" s="22">
        <f>IF(C344="",0,StaffPayroll[[#This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4" s="31">
        <f>IF(StaffPayroll[[#This Row],[Hourly WSB  Wage Minimum]]="",0,StaffPayroll[[#This Row],[Annual NF Wage Costs after WSB Minimum]]-StaffPayroll[[#This Row],[Annual NF Wage Costs before WSB Minimum]])</f>
        <v>0</v>
      </c>
      <c r="Q344" s="31">
        <f>IFERROR(IF(StaffPayroll[[#This Row],[Annual Cost of Wage Increase included in Rate Adjustment]]=0,0,P344*'Facility Info Input'!$F$10),0)</f>
        <v>0</v>
      </c>
      <c r="R344" s="32">
        <f>IFERROR(IF(StaffPayroll[[#This Row],[Annual Cost of Wage Increase included in Rate Adjustment]]=0,0,IF('Facility Info Input'!$F$11&lt;=0,0,P344*'Facility Info Input'!$F$11)),0)</f>
        <v>0</v>
      </c>
      <c r="S344" s="32">
        <f>IFERROR(IF(StaffPayroll[[#This Row],[Annual Cost of Wage Increase included in Rate Adjustment]]=0,0,IF('Facility Info Input'!$F$12&lt;=0,0,P344*'Facility Info Input'!$F$12)),0)</f>
        <v>0</v>
      </c>
      <c r="T344" s="32">
        <f t="shared" si="10"/>
        <v>0</v>
      </c>
      <c r="U344" s="33">
        <f t="shared" si="11"/>
        <v>0</v>
      </c>
    </row>
    <row r="345" spans="1:21">
      <c r="A345" s="76"/>
      <c r="B345" s="77"/>
      <c r="C345" s="81"/>
      <c r="D345" s="82"/>
      <c r="E345" s="82"/>
      <c r="F345" s="83"/>
      <c r="G345" s="84"/>
      <c r="H345" s="85"/>
      <c r="I345" s="71" t="e">
        <f>#REF!&amp;" "&amp;StaffPayroll[[#This Row],[Employee ID Number / Code]]</f>
        <v>#REF!</v>
      </c>
      <c r="J345" s="71" t="str">
        <f>_xlfn.IFNA(VLOOKUP(StaffPayroll[[#This Row],[Position / Title]],Lists!A:C,3,FALSE),"")</f>
        <v/>
      </c>
      <c r="K345" s="71">
        <f>StaffPayroll[[#This Row],[Payroll Period Ends Date (Minimum two months)]]-StaffPayroll[[#This Row],[Payroll Period Begins Date        (Must start after 6/1/2025)]]+1</f>
        <v>1</v>
      </c>
      <c r="L345" s="38">
        <f>IFERROR(IF(VLOOKUP(J345,'Facility Info Input'!$B$25:$D$34,3,FALSE)="",1,VLOOKUP(J345,'Facility Info Input'!$B$25:$D$34,3,FALSE)),0)</f>
        <v>0</v>
      </c>
      <c r="M345" s="22" t="str">
        <f>IF(StaffPayroll[[#This Row],[Employee ID Number / Code]]="","",IF(StaffPayroll[[#This Row],[Position / Title]]="","",VLOOKUP(StaffPayroll[[#This Row],[Position / Title]],Lists!A:C,2,FALSE)))</f>
        <v/>
      </c>
      <c r="N345" s="22">
        <f>IF(C345="",0,StaffPayroll[[#This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5" s="31">
        <f>IF(StaffPayroll[[#This Row],[Hourly WSB  Wage Minimum]]="",0,StaffPayroll[[#This Row],[Annual NF Wage Costs after WSB Minimum]]-StaffPayroll[[#This Row],[Annual NF Wage Costs before WSB Minimum]])</f>
        <v>0</v>
      </c>
      <c r="Q345" s="31">
        <f>IFERROR(IF(StaffPayroll[[#This Row],[Annual Cost of Wage Increase included in Rate Adjustment]]=0,0,P345*'Facility Info Input'!$F$10),0)</f>
        <v>0</v>
      </c>
      <c r="R345" s="32">
        <f>IFERROR(IF(StaffPayroll[[#This Row],[Annual Cost of Wage Increase included in Rate Adjustment]]=0,0,IF('Facility Info Input'!$F$11&lt;=0,0,P345*'Facility Info Input'!$F$11)),0)</f>
        <v>0</v>
      </c>
      <c r="S345" s="32">
        <f>IFERROR(IF(StaffPayroll[[#This Row],[Annual Cost of Wage Increase included in Rate Adjustment]]=0,0,IF('Facility Info Input'!$F$12&lt;=0,0,P345*'Facility Info Input'!$F$12)),0)</f>
        <v>0</v>
      </c>
      <c r="T345" s="32">
        <f t="shared" si="10"/>
        <v>0</v>
      </c>
      <c r="U345" s="33">
        <f t="shared" si="11"/>
        <v>0</v>
      </c>
    </row>
    <row r="346" spans="1:21">
      <c r="A346" s="76"/>
      <c r="B346" s="77"/>
      <c r="C346" s="81"/>
      <c r="D346" s="82"/>
      <c r="E346" s="82"/>
      <c r="F346" s="83"/>
      <c r="G346" s="84"/>
      <c r="H346" s="85"/>
      <c r="I346" s="71" t="e">
        <f>#REF!&amp;" "&amp;StaffPayroll[[#This Row],[Employee ID Number / Code]]</f>
        <v>#REF!</v>
      </c>
      <c r="J346" s="71" t="str">
        <f>_xlfn.IFNA(VLOOKUP(StaffPayroll[[#This Row],[Position / Title]],Lists!A:C,3,FALSE),"")</f>
        <v/>
      </c>
      <c r="K346" s="71">
        <f>StaffPayroll[[#This Row],[Payroll Period Ends Date (Minimum two months)]]-StaffPayroll[[#This Row],[Payroll Period Begins Date        (Must start after 6/1/2025)]]+1</f>
        <v>1</v>
      </c>
      <c r="L346" s="38">
        <f>IFERROR(IF(VLOOKUP(J346,'Facility Info Input'!$B$25:$D$34,3,FALSE)="",1,VLOOKUP(J346,'Facility Info Input'!$B$25:$D$34,3,FALSE)),0)</f>
        <v>0</v>
      </c>
      <c r="M346" s="22" t="str">
        <f>IF(StaffPayroll[[#This Row],[Employee ID Number / Code]]="","",IF(StaffPayroll[[#This Row],[Position / Title]]="","",VLOOKUP(StaffPayroll[[#This Row],[Position / Title]],Lists!A:C,2,FALSE)))</f>
        <v/>
      </c>
      <c r="N346" s="22">
        <f>IF(C346="",0,StaffPayroll[[#This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6" s="31">
        <f>IF(StaffPayroll[[#This Row],[Hourly WSB  Wage Minimum]]="",0,StaffPayroll[[#This Row],[Annual NF Wage Costs after WSB Minimum]]-StaffPayroll[[#This Row],[Annual NF Wage Costs before WSB Minimum]])</f>
        <v>0</v>
      </c>
      <c r="Q346" s="31">
        <f>IFERROR(IF(StaffPayroll[[#This Row],[Annual Cost of Wage Increase included in Rate Adjustment]]=0,0,P346*'Facility Info Input'!$F$10),0)</f>
        <v>0</v>
      </c>
      <c r="R346" s="32">
        <f>IFERROR(IF(StaffPayroll[[#This Row],[Annual Cost of Wage Increase included in Rate Adjustment]]=0,0,IF('Facility Info Input'!$F$11&lt;=0,0,P346*'Facility Info Input'!$F$11)),0)</f>
        <v>0</v>
      </c>
      <c r="S346" s="32">
        <f>IFERROR(IF(StaffPayroll[[#This Row],[Annual Cost of Wage Increase included in Rate Adjustment]]=0,0,IF('Facility Info Input'!$F$12&lt;=0,0,P346*'Facility Info Input'!$F$12)),0)</f>
        <v>0</v>
      </c>
      <c r="T346" s="32">
        <f t="shared" si="10"/>
        <v>0</v>
      </c>
      <c r="U346" s="33">
        <f t="shared" si="11"/>
        <v>0</v>
      </c>
    </row>
    <row r="347" spans="1:21">
      <c r="A347" s="76"/>
      <c r="B347" s="77"/>
      <c r="C347" s="81"/>
      <c r="D347" s="82"/>
      <c r="E347" s="82"/>
      <c r="F347" s="83"/>
      <c r="G347" s="84"/>
      <c r="H347" s="85"/>
      <c r="I347" s="71" t="e">
        <f>#REF!&amp;" "&amp;StaffPayroll[[#This Row],[Employee ID Number / Code]]</f>
        <v>#REF!</v>
      </c>
      <c r="J347" s="71" t="str">
        <f>_xlfn.IFNA(VLOOKUP(StaffPayroll[[#This Row],[Position / Title]],Lists!A:C,3,FALSE),"")</f>
        <v/>
      </c>
      <c r="K347" s="71">
        <f>StaffPayroll[[#This Row],[Payroll Period Ends Date (Minimum two months)]]-StaffPayroll[[#This Row],[Payroll Period Begins Date        (Must start after 6/1/2025)]]+1</f>
        <v>1</v>
      </c>
      <c r="L347" s="38">
        <f>IFERROR(IF(VLOOKUP(J347,'Facility Info Input'!$B$25:$D$34,3,FALSE)="",1,VLOOKUP(J347,'Facility Info Input'!$B$25:$D$34,3,FALSE)),0)</f>
        <v>0</v>
      </c>
      <c r="M347" s="22" t="str">
        <f>IF(StaffPayroll[[#This Row],[Employee ID Number / Code]]="","",IF(StaffPayroll[[#This Row],[Position / Title]]="","",VLOOKUP(StaffPayroll[[#This Row],[Position / Title]],Lists!A:C,2,FALSE)))</f>
        <v/>
      </c>
      <c r="N347" s="22">
        <f>IF(C347="",0,StaffPayroll[[#This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7" s="31">
        <f>IF(StaffPayroll[[#This Row],[Hourly WSB  Wage Minimum]]="",0,StaffPayroll[[#This Row],[Annual NF Wage Costs after WSB Minimum]]-StaffPayroll[[#This Row],[Annual NF Wage Costs before WSB Minimum]])</f>
        <v>0</v>
      </c>
      <c r="Q347" s="31">
        <f>IFERROR(IF(StaffPayroll[[#This Row],[Annual Cost of Wage Increase included in Rate Adjustment]]=0,0,P347*'Facility Info Input'!$F$10),0)</f>
        <v>0</v>
      </c>
      <c r="R347" s="32">
        <f>IFERROR(IF(StaffPayroll[[#This Row],[Annual Cost of Wage Increase included in Rate Adjustment]]=0,0,IF('Facility Info Input'!$F$11&lt;=0,0,P347*'Facility Info Input'!$F$11)),0)</f>
        <v>0</v>
      </c>
      <c r="S347" s="32">
        <f>IFERROR(IF(StaffPayroll[[#This Row],[Annual Cost of Wage Increase included in Rate Adjustment]]=0,0,IF('Facility Info Input'!$F$12&lt;=0,0,P347*'Facility Info Input'!$F$12)),0)</f>
        <v>0</v>
      </c>
      <c r="T347" s="32">
        <f t="shared" si="10"/>
        <v>0</v>
      </c>
      <c r="U347" s="33">
        <f t="shared" si="11"/>
        <v>0</v>
      </c>
    </row>
    <row r="348" spans="1:21">
      <c r="A348" s="76"/>
      <c r="B348" s="77"/>
      <c r="C348" s="81"/>
      <c r="D348" s="82"/>
      <c r="E348" s="82"/>
      <c r="F348" s="83"/>
      <c r="G348" s="84"/>
      <c r="H348" s="85"/>
      <c r="I348" s="71" t="e">
        <f>#REF!&amp;" "&amp;StaffPayroll[[#This Row],[Employee ID Number / Code]]</f>
        <v>#REF!</v>
      </c>
      <c r="J348" s="71" t="str">
        <f>_xlfn.IFNA(VLOOKUP(StaffPayroll[[#This Row],[Position / Title]],Lists!A:C,3,FALSE),"")</f>
        <v/>
      </c>
      <c r="K348" s="71">
        <f>StaffPayroll[[#This Row],[Payroll Period Ends Date (Minimum two months)]]-StaffPayroll[[#This Row],[Payroll Period Begins Date        (Must start after 6/1/2025)]]+1</f>
        <v>1</v>
      </c>
      <c r="L348" s="38">
        <f>IFERROR(IF(VLOOKUP(J348,'Facility Info Input'!$B$25:$D$34,3,FALSE)="",1,VLOOKUP(J348,'Facility Info Input'!$B$25:$D$34,3,FALSE)),0)</f>
        <v>0</v>
      </c>
      <c r="M348" s="22" t="str">
        <f>IF(StaffPayroll[[#This Row],[Employee ID Number / Code]]="","",IF(StaffPayroll[[#This Row],[Position / Title]]="","",VLOOKUP(StaffPayroll[[#This Row],[Position / Title]],Lists!A:C,2,FALSE)))</f>
        <v/>
      </c>
      <c r="N348" s="22">
        <f>IF(C348="",0,StaffPayroll[[#This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8" s="31">
        <f>IF(StaffPayroll[[#This Row],[Hourly WSB  Wage Minimum]]="",0,StaffPayroll[[#This Row],[Annual NF Wage Costs after WSB Minimum]]-StaffPayroll[[#This Row],[Annual NF Wage Costs before WSB Minimum]])</f>
        <v>0</v>
      </c>
      <c r="Q348" s="31">
        <f>IFERROR(IF(StaffPayroll[[#This Row],[Annual Cost of Wage Increase included in Rate Adjustment]]=0,0,P348*'Facility Info Input'!$F$10),0)</f>
        <v>0</v>
      </c>
      <c r="R348" s="32">
        <f>IFERROR(IF(StaffPayroll[[#This Row],[Annual Cost of Wage Increase included in Rate Adjustment]]=0,0,IF('Facility Info Input'!$F$11&lt;=0,0,P348*'Facility Info Input'!$F$11)),0)</f>
        <v>0</v>
      </c>
      <c r="S348" s="32">
        <f>IFERROR(IF(StaffPayroll[[#This Row],[Annual Cost of Wage Increase included in Rate Adjustment]]=0,0,IF('Facility Info Input'!$F$12&lt;=0,0,P348*'Facility Info Input'!$F$12)),0)</f>
        <v>0</v>
      </c>
      <c r="T348" s="32">
        <f t="shared" si="10"/>
        <v>0</v>
      </c>
      <c r="U348" s="33">
        <f t="shared" si="11"/>
        <v>0</v>
      </c>
    </row>
    <row r="349" spans="1:21">
      <c r="A349" s="76"/>
      <c r="B349" s="77"/>
      <c r="C349" s="81"/>
      <c r="D349" s="82"/>
      <c r="E349" s="82"/>
      <c r="F349" s="83"/>
      <c r="G349" s="84"/>
      <c r="H349" s="85"/>
      <c r="I349" s="71" t="e">
        <f>#REF!&amp;" "&amp;StaffPayroll[[#This Row],[Employee ID Number / Code]]</f>
        <v>#REF!</v>
      </c>
      <c r="J349" s="71" t="str">
        <f>_xlfn.IFNA(VLOOKUP(StaffPayroll[[#This Row],[Position / Title]],Lists!A:C,3,FALSE),"")</f>
        <v/>
      </c>
      <c r="K349" s="71">
        <f>StaffPayroll[[#This Row],[Payroll Period Ends Date (Minimum two months)]]-StaffPayroll[[#This Row],[Payroll Period Begins Date        (Must start after 6/1/2025)]]+1</f>
        <v>1</v>
      </c>
      <c r="L349" s="38">
        <f>IFERROR(IF(VLOOKUP(J349,'Facility Info Input'!$B$25:$D$34,3,FALSE)="",1,VLOOKUP(J349,'Facility Info Input'!$B$25:$D$34,3,FALSE)),0)</f>
        <v>0</v>
      </c>
      <c r="M349" s="22" t="str">
        <f>IF(StaffPayroll[[#This Row],[Employee ID Number / Code]]="","",IF(StaffPayroll[[#This Row],[Position / Title]]="","",VLOOKUP(StaffPayroll[[#This Row],[Position / Title]],Lists!A:C,2,FALSE)))</f>
        <v/>
      </c>
      <c r="N349" s="22">
        <f>IF(C349="",0,StaffPayroll[[#This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4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49" s="31">
        <f>IF(StaffPayroll[[#This Row],[Hourly WSB  Wage Minimum]]="",0,StaffPayroll[[#This Row],[Annual NF Wage Costs after WSB Minimum]]-StaffPayroll[[#This Row],[Annual NF Wage Costs before WSB Minimum]])</f>
        <v>0</v>
      </c>
      <c r="Q349" s="31">
        <f>IFERROR(IF(StaffPayroll[[#This Row],[Annual Cost of Wage Increase included in Rate Adjustment]]=0,0,P349*'Facility Info Input'!$F$10),0)</f>
        <v>0</v>
      </c>
      <c r="R349" s="32">
        <f>IFERROR(IF(StaffPayroll[[#This Row],[Annual Cost of Wage Increase included in Rate Adjustment]]=0,0,IF('Facility Info Input'!$F$11&lt;=0,0,P349*'Facility Info Input'!$F$11)),0)</f>
        <v>0</v>
      </c>
      <c r="S349" s="32">
        <f>IFERROR(IF(StaffPayroll[[#This Row],[Annual Cost of Wage Increase included in Rate Adjustment]]=0,0,IF('Facility Info Input'!$F$12&lt;=0,0,P349*'Facility Info Input'!$F$12)),0)</f>
        <v>0</v>
      </c>
      <c r="T349" s="32">
        <f t="shared" si="10"/>
        <v>0</v>
      </c>
      <c r="U349" s="33">
        <f t="shared" si="11"/>
        <v>0</v>
      </c>
    </row>
    <row r="350" spans="1:21">
      <c r="A350" s="76"/>
      <c r="B350" s="77"/>
      <c r="C350" s="81"/>
      <c r="D350" s="82"/>
      <c r="E350" s="82"/>
      <c r="F350" s="83"/>
      <c r="G350" s="84"/>
      <c r="H350" s="85"/>
      <c r="I350" s="71" t="e">
        <f>#REF!&amp;" "&amp;StaffPayroll[[#This Row],[Employee ID Number / Code]]</f>
        <v>#REF!</v>
      </c>
      <c r="J350" s="71" t="str">
        <f>_xlfn.IFNA(VLOOKUP(StaffPayroll[[#This Row],[Position / Title]],Lists!A:C,3,FALSE),"")</f>
        <v/>
      </c>
      <c r="K350" s="71">
        <f>StaffPayroll[[#This Row],[Payroll Period Ends Date (Minimum two months)]]-StaffPayroll[[#This Row],[Payroll Period Begins Date        (Must start after 6/1/2025)]]+1</f>
        <v>1</v>
      </c>
      <c r="L350" s="38">
        <f>IFERROR(IF(VLOOKUP(J350,'Facility Info Input'!$B$25:$D$34,3,FALSE)="",1,VLOOKUP(J350,'Facility Info Input'!$B$25:$D$34,3,FALSE)),0)</f>
        <v>0</v>
      </c>
      <c r="M350" s="22" t="str">
        <f>IF(StaffPayroll[[#This Row],[Employee ID Number / Code]]="","",IF(StaffPayroll[[#This Row],[Position / Title]]="","",VLOOKUP(StaffPayroll[[#This Row],[Position / Title]],Lists!A:C,2,FALSE)))</f>
        <v/>
      </c>
      <c r="N350" s="22">
        <f>IF(C350="",0,StaffPayroll[[#This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0" s="31">
        <f>IF(StaffPayroll[[#This Row],[Hourly WSB  Wage Minimum]]="",0,StaffPayroll[[#This Row],[Annual NF Wage Costs after WSB Minimum]]-StaffPayroll[[#This Row],[Annual NF Wage Costs before WSB Minimum]])</f>
        <v>0</v>
      </c>
      <c r="Q350" s="31">
        <f>IFERROR(IF(StaffPayroll[[#This Row],[Annual Cost of Wage Increase included in Rate Adjustment]]=0,0,P350*'Facility Info Input'!$F$10),0)</f>
        <v>0</v>
      </c>
      <c r="R350" s="32">
        <f>IFERROR(IF(StaffPayroll[[#This Row],[Annual Cost of Wage Increase included in Rate Adjustment]]=0,0,IF('Facility Info Input'!$F$11&lt;=0,0,P350*'Facility Info Input'!$F$11)),0)</f>
        <v>0</v>
      </c>
      <c r="S350" s="32">
        <f>IFERROR(IF(StaffPayroll[[#This Row],[Annual Cost of Wage Increase included in Rate Adjustment]]=0,0,IF('Facility Info Input'!$F$12&lt;=0,0,P350*'Facility Info Input'!$F$12)),0)</f>
        <v>0</v>
      </c>
      <c r="T350" s="32">
        <f t="shared" si="10"/>
        <v>0</v>
      </c>
      <c r="U350" s="33">
        <f t="shared" si="11"/>
        <v>0</v>
      </c>
    </row>
    <row r="351" spans="1:21">
      <c r="A351" s="76"/>
      <c r="B351" s="77"/>
      <c r="C351" s="81"/>
      <c r="D351" s="82"/>
      <c r="E351" s="82"/>
      <c r="F351" s="83"/>
      <c r="G351" s="84"/>
      <c r="H351" s="85"/>
      <c r="I351" s="71" t="e">
        <f>#REF!&amp;" "&amp;StaffPayroll[[#This Row],[Employee ID Number / Code]]</f>
        <v>#REF!</v>
      </c>
      <c r="J351" s="71" t="str">
        <f>_xlfn.IFNA(VLOOKUP(StaffPayroll[[#This Row],[Position / Title]],Lists!A:C,3,FALSE),"")</f>
        <v/>
      </c>
      <c r="K351" s="71">
        <f>StaffPayroll[[#This Row],[Payroll Period Ends Date (Minimum two months)]]-StaffPayroll[[#This Row],[Payroll Period Begins Date        (Must start after 6/1/2025)]]+1</f>
        <v>1</v>
      </c>
      <c r="L351" s="38">
        <f>IFERROR(IF(VLOOKUP(J351,'Facility Info Input'!$B$25:$D$34,3,FALSE)="",1,VLOOKUP(J351,'Facility Info Input'!$B$25:$D$34,3,FALSE)),0)</f>
        <v>0</v>
      </c>
      <c r="M351" s="22" t="str">
        <f>IF(StaffPayroll[[#This Row],[Employee ID Number / Code]]="","",IF(StaffPayroll[[#This Row],[Position / Title]]="","",VLOOKUP(StaffPayroll[[#This Row],[Position / Title]],Lists!A:C,2,FALSE)))</f>
        <v/>
      </c>
      <c r="N351" s="22">
        <f>IF(C351="",0,StaffPayroll[[#This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1" s="31">
        <f>IF(StaffPayroll[[#This Row],[Hourly WSB  Wage Minimum]]="",0,StaffPayroll[[#This Row],[Annual NF Wage Costs after WSB Minimum]]-StaffPayroll[[#This Row],[Annual NF Wage Costs before WSB Minimum]])</f>
        <v>0</v>
      </c>
      <c r="Q351" s="31">
        <f>IFERROR(IF(StaffPayroll[[#This Row],[Annual Cost of Wage Increase included in Rate Adjustment]]=0,0,P351*'Facility Info Input'!$F$10),0)</f>
        <v>0</v>
      </c>
      <c r="R351" s="32">
        <f>IFERROR(IF(StaffPayroll[[#This Row],[Annual Cost of Wage Increase included in Rate Adjustment]]=0,0,IF('Facility Info Input'!$F$11&lt;=0,0,P351*'Facility Info Input'!$F$11)),0)</f>
        <v>0</v>
      </c>
      <c r="S351" s="32">
        <f>IFERROR(IF(StaffPayroll[[#This Row],[Annual Cost of Wage Increase included in Rate Adjustment]]=0,0,IF('Facility Info Input'!$F$12&lt;=0,0,P351*'Facility Info Input'!$F$12)),0)</f>
        <v>0</v>
      </c>
      <c r="T351" s="32">
        <f t="shared" si="10"/>
        <v>0</v>
      </c>
      <c r="U351" s="33">
        <f t="shared" si="11"/>
        <v>0</v>
      </c>
    </row>
    <row r="352" spans="1:21">
      <c r="A352" s="76"/>
      <c r="B352" s="77"/>
      <c r="C352" s="81"/>
      <c r="D352" s="82"/>
      <c r="E352" s="82"/>
      <c r="F352" s="83"/>
      <c r="G352" s="84"/>
      <c r="H352" s="85"/>
      <c r="I352" s="71" t="e">
        <f>#REF!&amp;" "&amp;StaffPayroll[[#This Row],[Employee ID Number / Code]]</f>
        <v>#REF!</v>
      </c>
      <c r="J352" s="71" t="str">
        <f>_xlfn.IFNA(VLOOKUP(StaffPayroll[[#This Row],[Position / Title]],Lists!A:C,3,FALSE),"")</f>
        <v/>
      </c>
      <c r="K352" s="71">
        <f>StaffPayroll[[#This Row],[Payroll Period Ends Date (Minimum two months)]]-StaffPayroll[[#This Row],[Payroll Period Begins Date        (Must start after 6/1/2025)]]+1</f>
        <v>1</v>
      </c>
      <c r="L352" s="38">
        <f>IFERROR(IF(VLOOKUP(J352,'Facility Info Input'!$B$25:$D$34,3,FALSE)="",1,VLOOKUP(J352,'Facility Info Input'!$B$25:$D$34,3,FALSE)),0)</f>
        <v>0</v>
      </c>
      <c r="M352" s="22" t="str">
        <f>IF(StaffPayroll[[#This Row],[Employee ID Number / Code]]="","",IF(StaffPayroll[[#This Row],[Position / Title]]="","",VLOOKUP(StaffPayroll[[#This Row],[Position / Title]],Lists!A:C,2,FALSE)))</f>
        <v/>
      </c>
      <c r="N352" s="22">
        <f>IF(C352="",0,StaffPayroll[[#This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2" s="31">
        <f>IF(StaffPayroll[[#This Row],[Hourly WSB  Wage Minimum]]="",0,StaffPayroll[[#This Row],[Annual NF Wage Costs after WSB Minimum]]-StaffPayroll[[#This Row],[Annual NF Wage Costs before WSB Minimum]])</f>
        <v>0</v>
      </c>
      <c r="Q352" s="31">
        <f>IFERROR(IF(StaffPayroll[[#This Row],[Annual Cost of Wage Increase included in Rate Adjustment]]=0,0,P352*'Facility Info Input'!$F$10),0)</f>
        <v>0</v>
      </c>
      <c r="R352" s="32">
        <f>IFERROR(IF(StaffPayroll[[#This Row],[Annual Cost of Wage Increase included in Rate Adjustment]]=0,0,IF('Facility Info Input'!$F$11&lt;=0,0,P352*'Facility Info Input'!$F$11)),0)</f>
        <v>0</v>
      </c>
      <c r="S352" s="32">
        <f>IFERROR(IF(StaffPayroll[[#This Row],[Annual Cost of Wage Increase included in Rate Adjustment]]=0,0,IF('Facility Info Input'!$F$12&lt;=0,0,P352*'Facility Info Input'!$F$12)),0)</f>
        <v>0</v>
      </c>
      <c r="T352" s="32">
        <f t="shared" si="10"/>
        <v>0</v>
      </c>
      <c r="U352" s="33">
        <f t="shared" si="11"/>
        <v>0</v>
      </c>
    </row>
    <row r="353" spans="1:21">
      <c r="A353" s="76"/>
      <c r="B353" s="77"/>
      <c r="C353" s="81"/>
      <c r="D353" s="82"/>
      <c r="E353" s="82"/>
      <c r="F353" s="83"/>
      <c r="G353" s="84"/>
      <c r="H353" s="85"/>
      <c r="I353" s="71" t="e">
        <f>#REF!&amp;" "&amp;StaffPayroll[[#This Row],[Employee ID Number / Code]]</f>
        <v>#REF!</v>
      </c>
      <c r="J353" s="71" t="str">
        <f>_xlfn.IFNA(VLOOKUP(StaffPayroll[[#This Row],[Position / Title]],Lists!A:C,3,FALSE),"")</f>
        <v/>
      </c>
      <c r="K353" s="71">
        <f>StaffPayroll[[#This Row],[Payroll Period Ends Date (Minimum two months)]]-StaffPayroll[[#This Row],[Payroll Period Begins Date        (Must start after 6/1/2025)]]+1</f>
        <v>1</v>
      </c>
      <c r="L353" s="38">
        <f>IFERROR(IF(VLOOKUP(J353,'Facility Info Input'!$B$25:$D$34,3,FALSE)="",1,VLOOKUP(J353,'Facility Info Input'!$B$25:$D$34,3,FALSE)),0)</f>
        <v>0</v>
      </c>
      <c r="M353" s="22" t="str">
        <f>IF(StaffPayroll[[#This Row],[Employee ID Number / Code]]="","",IF(StaffPayroll[[#This Row],[Position / Title]]="","",VLOOKUP(StaffPayroll[[#This Row],[Position / Title]],Lists!A:C,2,FALSE)))</f>
        <v/>
      </c>
      <c r="N353" s="22">
        <f>IF(C353="",0,StaffPayroll[[#This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3" s="31">
        <f>IF(StaffPayroll[[#This Row],[Hourly WSB  Wage Minimum]]="",0,StaffPayroll[[#This Row],[Annual NF Wage Costs after WSB Minimum]]-StaffPayroll[[#This Row],[Annual NF Wage Costs before WSB Minimum]])</f>
        <v>0</v>
      </c>
      <c r="Q353" s="31">
        <f>IFERROR(IF(StaffPayroll[[#This Row],[Annual Cost of Wage Increase included in Rate Adjustment]]=0,0,P353*'Facility Info Input'!$F$10),0)</f>
        <v>0</v>
      </c>
      <c r="R353" s="32">
        <f>IFERROR(IF(StaffPayroll[[#This Row],[Annual Cost of Wage Increase included in Rate Adjustment]]=0,0,IF('Facility Info Input'!$F$11&lt;=0,0,P353*'Facility Info Input'!$F$11)),0)</f>
        <v>0</v>
      </c>
      <c r="S353" s="32">
        <f>IFERROR(IF(StaffPayroll[[#This Row],[Annual Cost of Wage Increase included in Rate Adjustment]]=0,0,IF('Facility Info Input'!$F$12&lt;=0,0,P353*'Facility Info Input'!$F$12)),0)</f>
        <v>0</v>
      </c>
      <c r="T353" s="32">
        <f t="shared" si="10"/>
        <v>0</v>
      </c>
      <c r="U353" s="33">
        <f t="shared" si="11"/>
        <v>0</v>
      </c>
    </row>
    <row r="354" spans="1:21">
      <c r="A354" s="76"/>
      <c r="B354" s="77"/>
      <c r="C354" s="81"/>
      <c r="D354" s="82"/>
      <c r="E354" s="82"/>
      <c r="F354" s="83"/>
      <c r="G354" s="84"/>
      <c r="H354" s="85"/>
      <c r="I354" s="71" t="e">
        <f>#REF!&amp;" "&amp;StaffPayroll[[#This Row],[Employee ID Number / Code]]</f>
        <v>#REF!</v>
      </c>
      <c r="J354" s="71" t="str">
        <f>_xlfn.IFNA(VLOOKUP(StaffPayroll[[#This Row],[Position / Title]],Lists!A:C,3,FALSE),"")</f>
        <v/>
      </c>
      <c r="K354" s="71">
        <f>StaffPayroll[[#This Row],[Payroll Period Ends Date (Minimum two months)]]-StaffPayroll[[#This Row],[Payroll Period Begins Date        (Must start after 6/1/2025)]]+1</f>
        <v>1</v>
      </c>
      <c r="L354" s="38">
        <f>IFERROR(IF(VLOOKUP(J354,'Facility Info Input'!$B$25:$D$34,3,FALSE)="",1,VLOOKUP(J354,'Facility Info Input'!$B$25:$D$34,3,FALSE)),0)</f>
        <v>0</v>
      </c>
      <c r="M354" s="22" t="str">
        <f>IF(StaffPayroll[[#This Row],[Employee ID Number / Code]]="","",IF(StaffPayroll[[#This Row],[Position / Title]]="","",VLOOKUP(StaffPayroll[[#This Row],[Position / Title]],Lists!A:C,2,FALSE)))</f>
        <v/>
      </c>
      <c r="N354" s="22">
        <f>IF(C354="",0,StaffPayroll[[#This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4" s="31">
        <f>IF(StaffPayroll[[#This Row],[Hourly WSB  Wage Minimum]]="",0,StaffPayroll[[#This Row],[Annual NF Wage Costs after WSB Minimum]]-StaffPayroll[[#This Row],[Annual NF Wage Costs before WSB Minimum]])</f>
        <v>0</v>
      </c>
      <c r="Q354" s="31">
        <f>IFERROR(IF(StaffPayroll[[#This Row],[Annual Cost of Wage Increase included in Rate Adjustment]]=0,0,P354*'Facility Info Input'!$F$10),0)</f>
        <v>0</v>
      </c>
      <c r="R354" s="32">
        <f>IFERROR(IF(StaffPayroll[[#This Row],[Annual Cost of Wage Increase included in Rate Adjustment]]=0,0,IF('Facility Info Input'!$F$11&lt;=0,0,P354*'Facility Info Input'!$F$11)),0)</f>
        <v>0</v>
      </c>
      <c r="S354" s="32">
        <f>IFERROR(IF(StaffPayroll[[#This Row],[Annual Cost of Wage Increase included in Rate Adjustment]]=0,0,IF('Facility Info Input'!$F$12&lt;=0,0,P354*'Facility Info Input'!$F$12)),0)</f>
        <v>0</v>
      </c>
      <c r="T354" s="32">
        <f t="shared" si="10"/>
        <v>0</v>
      </c>
      <c r="U354" s="33">
        <f t="shared" si="11"/>
        <v>0</v>
      </c>
    </row>
    <row r="355" spans="1:21">
      <c r="A355" s="76"/>
      <c r="B355" s="77"/>
      <c r="C355" s="81"/>
      <c r="D355" s="82"/>
      <c r="E355" s="82"/>
      <c r="F355" s="83"/>
      <c r="G355" s="84"/>
      <c r="H355" s="85"/>
      <c r="I355" s="71" t="e">
        <f>#REF!&amp;" "&amp;StaffPayroll[[#This Row],[Employee ID Number / Code]]</f>
        <v>#REF!</v>
      </c>
      <c r="J355" s="71" t="str">
        <f>_xlfn.IFNA(VLOOKUP(StaffPayroll[[#This Row],[Position / Title]],Lists!A:C,3,FALSE),"")</f>
        <v/>
      </c>
      <c r="K355" s="71">
        <f>StaffPayroll[[#This Row],[Payroll Period Ends Date (Minimum two months)]]-StaffPayroll[[#This Row],[Payroll Period Begins Date        (Must start after 6/1/2025)]]+1</f>
        <v>1</v>
      </c>
      <c r="L355" s="38">
        <f>IFERROR(IF(VLOOKUP(J355,'Facility Info Input'!$B$25:$D$34,3,FALSE)="",1,VLOOKUP(J355,'Facility Info Input'!$B$25:$D$34,3,FALSE)),0)</f>
        <v>0</v>
      </c>
      <c r="M355" s="22" t="str">
        <f>IF(StaffPayroll[[#This Row],[Employee ID Number / Code]]="","",IF(StaffPayroll[[#This Row],[Position / Title]]="","",VLOOKUP(StaffPayroll[[#This Row],[Position / Title]],Lists!A:C,2,FALSE)))</f>
        <v/>
      </c>
      <c r="N355" s="22">
        <f>IF(C355="",0,StaffPayroll[[#This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5" s="31">
        <f>IF(StaffPayroll[[#This Row],[Hourly WSB  Wage Minimum]]="",0,StaffPayroll[[#This Row],[Annual NF Wage Costs after WSB Minimum]]-StaffPayroll[[#This Row],[Annual NF Wage Costs before WSB Minimum]])</f>
        <v>0</v>
      </c>
      <c r="Q355" s="31">
        <f>IFERROR(IF(StaffPayroll[[#This Row],[Annual Cost of Wage Increase included in Rate Adjustment]]=0,0,P355*'Facility Info Input'!$F$10),0)</f>
        <v>0</v>
      </c>
      <c r="R355" s="32">
        <f>IFERROR(IF(StaffPayroll[[#This Row],[Annual Cost of Wage Increase included in Rate Adjustment]]=0,0,IF('Facility Info Input'!$F$11&lt;=0,0,P355*'Facility Info Input'!$F$11)),0)</f>
        <v>0</v>
      </c>
      <c r="S355" s="32">
        <f>IFERROR(IF(StaffPayroll[[#This Row],[Annual Cost of Wage Increase included in Rate Adjustment]]=0,0,IF('Facility Info Input'!$F$12&lt;=0,0,P355*'Facility Info Input'!$F$12)),0)</f>
        <v>0</v>
      </c>
      <c r="T355" s="32">
        <f t="shared" si="10"/>
        <v>0</v>
      </c>
      <c r="U355" s="33">
        <f t="shared" si="11"/>
        <v>0</v>
      </c>
    </row>
    <row r="356" spans="1:21">
      <c r="A356" s="76"/>
      <c r="B356" s="77"/>
      <c r="C356" s="81"/>
      <c r="D356" s="82"/>
      <c r="E356" s="82"/>
      <c r="F356" s="83"/>
      <c r="G356" s="84"/>
      <c r="H356" s="85"/>
      <c r="I356" s="71" t="e">
        <f>#REF!&amp;" "&amp;StaffPayroll[[#This Row],[Employee ID Number / Code]]</f>
        <v>#REF!</v>
      </c>
      <c r="J356" s="71" t="str">
        <f>_xlfn.IFNA(VLOOKUP(StaffPayroll[[#This Row],[Position / Title]],Lists!A:C,3,FALSE),"")</f>
        <v/>
      </c>
      <c r="K356" s="71">
        <f>StaffPayroll[[#This Row],[Payroll Period Ends Date (Minimum two months)]]-StaffPayroll[[#This Row],[Payroll Period Begins Date        (Must start after 6/1/2025)]]+1</f>
        <v>1</v>
      </c>
      <c r="L356" s="38">
        <f>IFERROR(IF(VLOOKUP(J356,'Facility Info Input'!$B$25:$D$34,3,FALSE)="",1,VLOOKUP(J356,'Facility Info Input'!$B$25:$D$34,3,FALSE)),0)</f>
        <v>0</v>
      </c>
      <c r="M356" s="22" t="str">
        <f>IF(StaffPayroll[[#This Row],[Employee ID Number / Code]]="","",IF(StaffPayroll[[#This Row],[Position / Title]]="","",VLOOKUP(StaffPayroll[[#This Row],[Position / Title]],Lists!A:C,2,FALSE)))</f>
        <v/>
      </c>
      <c r="N356" s="22">
        <f>IF(C356="",0,StaffPayroll[[#This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6" s="31">
        <f>IF(StaffPayroll[[#This Row],[Hourly WSB  Wage Minimum]]="",0,StaffPayroll[[#This Row],[Annual NF Wage Costs after WSB Minimum]]-StaffPayroll[[#This Row],[Annual NF Wage Costs before WSB Minimum]])</f>
        <v>0</v>
      </c>
      <c r="Q356" s="31">
        <f>IFERROR(IF(StaffPayroll[[#This Row],[Annual Cost of Wage Increase included in Rate Adjustment]]=0,0,P356*'Facility Info Input'!$F$10),0)</f>
        <v>0</v>
      </c>
      <c r="R356" s="32">
        <f>IFERROR(IF(StaffPayroll[[#This Row],[Annual Cost of Wage Increase included in Rate Adjustment]]=0,0,IF('Facility Info Input'!$F$11&lt;=0,0,P356*'Facility Info Input'!$F$11)),0)</f>
        <v>0</v>
      </c>
      <c r="S356" s="32">
        <f>IFERROR(IF(StaffPayroll[[#This Row],[Annual Cost of Wage Increase included in Rate Adjustment]]=0,0,IF('Facility Info Input'!$F$12&lt;=0,0,P356*'Facility Info Input'!$F$12)),0)</f>
        <v>0</v>
      </c>
      <c r="T356" s="32">
        <f t="shared" si="10"/>
        <v>0</v>
      </c>
      <c r="U356" s="33">
        <f t="shared" si="11"/>
        <v>0</v>
      </c>
    </row>
    <row r="357" spans="1:21">
      <c r="A357" s="76"/>
      <c r="B357" s="77"/>
      <c r="C357" s="81"/>
      <c r="D357" s="82"/>
      <c r="E357" s="82"/>
      <c r="F357" s="83"/>
      <c r="G357" s="84"/>
      <c r="H357" s="85"/>
      <c r="I357" s="71" t="e">
        <f>#REF!&amp;" "&amp;StaffPayroll[[#This Row],[Employee ID Number / Code]]</f>
        <v>#REF!</v>
      </c>
      <c r="J357" s="71" t="str">
        <f>_xlfn.IFNA(VLOOKUP(StaffPayroll[[#This Row],[Position / Title]],Lists!A:C,3,FALSE),"")</f>
        <v/>
      </c>
      <c r="K357" s="71">
        <f>StaffPayroll[[#This Row],[Payroll Period Ends Date (Minimum two months)]]-StaffPayroll[[#This Row],[Payroll Period Begins Date        (Must start after 6/1/2025)]]+1</f>
        <v>1</v>
      </c>
      <c r="L357" s="38">
        <f>IFERROR(IF(VLOOKUP(J357,'Facility Info Input'!$B$25:$D$34,3,FALSE)="",1,VLOOKUP(J357,'Facility Info Input'!$B$25:$D$34,3,FALSE)),0)</f>
        <v>0</v>
      </c>
      <c r="M357" s="22" t="str">
        <f>IF(StaffPayroll[[#This Row],[Employee ID Number / Code]]="","",IF(StaffPayroll[[#This Row],[Position / Title]]="","",VLOOKUP(StaffPayroll[[#This Row],[Position / Title]],Lists!A:C,2,FALSE)))</f>
        <v/>
      </c>
      <c r="N357" s="22">
        <f>IF(C357="",0,StaffPayroll[[#This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7" s="31">
        <f>IF(StaffPayroll[[#This Row],[Hourly WSB  Wage Minimum]]="",0,StaffPayroll[[#This Row],[Annual NF Wage Costs after WSB Minimum]]-StaffPayroll[[#This Row],[Annual NF Wage Costs before WSB Minimum]])</f>
        <v>0</v>
      </c>
      <c r="Q357" s="31">
        <f>IFERROR(IF(StaffPayroll[[#This Row],[Annual Cost of Wage Increase included in Rate Adjustment]]=0,0,P357*'Facility Info Input'!$F$10),0)</f>
        <v>0</v>
      </c>
      <c r="R357" s="32">
        <f>IFERROR(IF(StaffPayroll[[#This Row],[Annual Cost of Wage Increase included in Rate Adjustment]]=0,0,IF('Facility Info Input'!$F$11&lt;=0,0,P357*'Facility Info Input'!$F$11)),0)</f>
        <v>0</v>
      </c>
      <c r="S357" s="32">
        <f>IFERROR(IF(StaffPayroll[[#This Row],[Annual Cost of Wage Increase included in Rate Adjustment]]=0,0,IF('Facility Info Input'!$F$12&lt;=0,0,P357*'Facility Info Input'!$F$12)),0)</f>
        <v>0</v>
      </c>
      <c r="T357" s="32">
        <f t="shared" si="10"/>
        <v>0</v>
      </c>
      <c r="U357" s="33">
        <f t="shared" si="11"/>
        <v>0</v>
      </c>
    </row>
    <row r="358" spans="1:21">
      <c r="A358" s="76"/>
      <c r="B358" s="77"/>
      <c r="C358" s="81"/>
      <c r="D358" s="82"/>
      <c r="E358" s="82"/>
      <c r="F358" s="83"/>
      <c r="G358" s="84"/>
      <c r="H358" s="85"/>
      <c r="I358" s="71" t="e">
        <f>#REF!&amp;" "&amp;StaffPayroll[[#This Row],[Employee ID Number / Code]]</f>
        <v>#REF!</v>
      </c>
      <c r="J358" s="71" t="str">
        <f>_xlfn.IFNA(VLOOKUP(StaffPayroll[[#This Row],[Position / Title]],Lists!A:C,3,FALSE),"")</f>
        <v/>
      </c>
      <c r="K358" s="71">
        <f>StaffPayroll[[#This Row],[Payroll Period Ends Date (Minimum two months)]]-StaffPayroll[[#This Row],[Payroll Period Begins Date        (Must start after 6/1/2025)]]+1</f>
        <v>1</v>
      </c>
      <c r="L358" s="38">
        <f>IFERROR(IF(VLOOKUP(J358,'Facility Info Input'!$B$25:$D$34,3,FALSE)="",1,VLOOKUP(J358,'Facility Info Input'!$B$25:$D$34,3,FALSE)),0)</f>
        <v>0</v>
      </c>
      <c r="M358" s="22" t="str">
        <f>IF(StaffPayroll[[#This Row],[Employee ID Number / Code]]="","",IF(StaffPayroll[[#This Row],[Position / Title]]="","",VLOOKUP(StaffPayroll[[#This Row],[Position / Title]],Lists!A:C,2,FALSE)))</f>
        <v/>
      </c>
      <c r="N358" s="22">
        <f>IF(C358="",0,StaffPayroll[[#This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8" s="31">
        <f>IF(StaffPayroll[[#This Row],[Hourly WSB  Wage Minimum]]="",0,StaffPayroll[[#This Row],[Annual NF Wage Costs after WSB Minimum]]-StaffPayroll[[#This Row],[Annual NF Wage Costs before WSB Minimum]])</f>
        <v>0</v>
      </c>
      <c r="Q358" s="31">
        <f>IFERROR(IF(StaffPayroll[[#This Row],[Annual Cost of Wage Increase included in Rate Adjustment]]=0,0,P358*'Facility Info Input'!$F$10),0)</f>
        <v>0</v>
      </c>
      <c r="R358" s="32">
        <f>IFERROR(IF(StaffPayroll[[#This Row],[Annual Cost of Wage Increase included in Rate Adjustment]]=0,0,IF('Facility Info Input'!$F$11&lt;=0,0,P358*'Facility Info Input'!$F$11)),0)</f>
        <v>0</v>
      </c>
      <c r="S358" s="32">
        <f>IFERROR(IF(StaffPayroll[[#This Row],[Annual Cost of Wage Increase included in Rate Adjustment]]=0,0,IF('Facility Info Input'!$F$12&lt;=0,0,P358*'Facility Info Input'!$F$12)),0)</f>
        <v>0</v>
      </c>
      <c r="T358" s="32">
        <f t="shared" si="10"/>
        <v>0</v>
      </c>
      <c r="U358" s="33">
        <f t="shared" si="11"/>
        <v>0</v>
      </c>
    </row>
    <row r="359" spans="1:21">
      <c r="A359" s="76"/>
      <c r="B359" s="77"/>
      <c r="C359" s="81"/>
      <c r="D359" s="82"/>
      <c r="E359" s="82"/>
      <c r="F359" s="83"/>
      <c r="G359" s="84"/>
      <c r="H359" s="85"/>
      <c r="I359" s="71" t="e">
        <f>#REF!&amp;" "&amp;StaffPayroll[[#This Row],[Employee ID Number / Code]]</f>
        <v>#REF!</v>
      </c>
      <c r="J359" s="71" t="str">
        <f>_xlfn.IFNA(VLOOKUP(StaffPayroll[[#This Row],[Position / Title]],Lists!A:C,3,FALSE),"")</f>
        <v/>
      </c>
      <c r="K359" s="71">
        <f>StaffPayroll[[#This Row],[Payroll Period Ends Date (Minimum two months)]]-StaffPayroll[[#This Row],[Payroll Period Begins Date        (Must start after 6/1/2025)]]+1</f>
        <v>1</v>
      </c>
      <c r="L359" s="38">
        <f>IFERROR(IF(VLOOKUP(J359,'Facility Info Input'!$B$25:$D$34,3,FALSE)="",1,VLOOKUP(J359,'Facility Info Input'!$B$25:$D$34,3,FALSE)),0)</f>
        <v>0</v>
      </c>
      <c r="M359" s="22" t="str">
        <f>IF(StaffPayroll[[#This Row],[Employee ID Number / Code]]="","",IF(StaffPayroll[[#This Row],[Position / Title]]="","",VLOOKUP(StaffPayroll[[#This Row],[Position / Title]],Lists!A:C,2,FALSE)))</f>
        <v/>
      </c>
      <c r="N359" s="22">
        <f>IF(C359="",0,StaffPayroll[[#This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5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59" s="31">
        <f>IF(StaffPayroll[[#This Row],[Hourly WSB  Wage Minimum]]="",0,StaffPayroll[[#This Row],[Annual NF Wage Costs after WSB Minimum]]-StaffPayroll[[#This Row],[Annual NF Wage Costs before WSB Minimum]])</f>
        <v>0</v>
      </c>
      <c r="Q359" s="31">
        <f>IFERROR(IF(StaffPayroll[[#This Row],[Annual Cost of Wage Increase included in Rate Adjustment]]=0,0,P359*'Facility Info Input'!$F$10),0)</f>
        <v>0</v>
      </c>
      <c r="R359" s="32">
        <f>IFERROR(IF(StaffPayroll[[#This Row],[Annual Cost of Wage Increase included in Rate Adjustment]]=0,0,IF('Facility Info Input'!$F$11&lt;=0,0,P359*'Facility Info Input'!$F$11)),0)</f>
        <v>0</v>
      </c>
      <c r="S359" s="32">
        <f>IFERROR(IF(StaffPayroll[[#This Row],[Annual Cost of Wage Increase included in Rate Adjustment]]=0,0,IF('Facility Info Input'!$F$12&lt;=0,0,P359*'Facility Info Input'!$F$12)),0)</f>
        <v>0</v>
      </c>
      <c r="T359" s="32">
        <f t="shared" si="10"/>
        <v>0</v>
      </c>
      <c r="U359" s="33">
        <f t="shared" si="11"/>
        <v>0</v>
      </c>
    </row>
    <row r="360" spans="1:21">
      <c r="A360" s="76"/>
      <c r="B360" s="77"/>
      <c r="C360" s="81"/>
      <c r="D360" s="82"/>
      <c r="E360" s="82"/>
      <c r="F360" s="83"/>
      <c r="G360" s="84"/>
      <c r="H360" s="85"/>
      <c r="I360" s="71" t="e">
        <f>#REF!&amp;" "&amp;StaffPayroll[[#This Row],[Employee ID Number / Code]]</f>
        <v>#REF!</v>
      </c>
      <c r="J360" s="71" t="str">
        <f>_xlfn.IFNA(VLOOKUP(StaffPayroll[[#This Row],[Position / Title]],Lists!A:C,3,FALSE),"")</f>
        <v/>
      </c>
      <c r="K360" s="71">
        <f>StaffPayroll[[#This Row],[Payroll Period Ends Date (Minimum two months)]]-StaffPayroll[[#This Row],[Payroll Period Begins Date        (Must start after 6/1/2025)]]+1</f>
        <v>1</v>
      </c>
      <c r="L360" s="38">
        <f>IFERROR(IF(VLOOKUP(J360,'Facility Info Input'!$B$25:$D$34,3,FALSE)="",1,VLOOKUP(J360,'Facility Info Input'!$B$25:$D$34,3,FALSE)),0)</f>
        <v>0</v>
      </c>
      <c r="M360" s="22" t="str">
        <f>IF(StaffPayroll[[#This Row],[Employee ID Number / Code]]="","",IF(StaffPayroll[[#This Row],[Position / Title]]="","",VLOOKUP(StaffPayroll[[#This Row],[Position / Title]],Lists!A:C,2,FALSE)))</f>
        <v/>
      </c>
      <c r="N360" s="22">
        <f>IF(C360="",0,StaffPayroll[[#This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0" s="31">
        <f>IF(StaffPayroll[[#This Row],[Hourly WSB  Wage Minimum]]="",0,StaffPayroll[[#This Row],[Annual NF Wage Costs after WSB Minimum]]-StaffPayroll[[#This Row],[Annual NF Wage Costs before WSB Minimum]])</f>
        <v>0</v>
      </c>
      <c r="Q360" s="31">
        <f>IFERROR(IF(StaffPayroll[[#This Row],[Annual Cost of Wage Increase included in Rate Adjustment]]=0,0,P360*'Facility Info Input'!$F$10),0)</f>
        <v>0</v>
      </c>
      <c r="R360" s="32">
        <f>IFERROR(IF(StaffPayroll[[#This Row],[Annual Cost of Wage Increase included in Rate Adjustment]]=0,0,IF('Facility Info Input'!$F$11&lt;=0,0,P360*'Facility Info Input'!$F$11)),0)</f>
        <v>0</v>
      </c>
      <c r="S360" s="32">
        <f>IFERROR(IF(StaffPayroll[[#This Row],[Annual Cost of Wage Increase included in Rate Adjustment]]=0,0,IF('Facility Info Input'!$F$12&lt;=0,0,P360*'Facility Info Input'!$F$12)),0)</f>
        <v>0</v>
      </c>
      <c r="T360" s="32">
        <f t="shared" si="10"/>
        <v>0</v>
      </c>
      <c r="U360" s="33">
        <f t="shared" si="11"/>
        <v>0</v>
      </c>
    </row>
    <row r="361" spans="1:21">
      <c r="A361" s="76"/>
      <c r="B361" s="77"/>
      <c r="C361" s="81"/>
      <c r="D361" s="82"/>
      <c r="E361" s="82"/>
      <c r="F361" s="83"/>
      <c r="G361" s="84"/>
      <c r="H361" s="85"/>
      <c r="I361" s="71" t="e">
        <f>#REF!&amp;" "&amp;StaffPayroll[[#This Row],[Employee ID Number / Code]]</f>
        <v>#REF!</v>
      </c>
      <c r="J361" s="71" t="str">
        <f>_xlfn.IFNA(VLOOKUP(StaffPayroll[[#This Row],[Position / Title]],Lists!A:C,3,FALSE),"")</f>
        <v/>
      </c>
      <c r="K361" s="71">
        <f>StaffPayroll[[#This Row],[Payroll Period Ends Date (Minimum two months)]]-StaffPayroll[[#This Row],[Payroll Period Begins Date        (Must start after 6/1/2025)]]+1</f>
        <v>1</v>
      </c>
      <c r="L361" s="38">
        <f>IFERROR(IF(VLOOKUP(J361,'Facility Info Input'!$B$25:$D$34,3,FALSE)="",1,VLOOKUP(J361,'Facility Info Input'!$B$25:$D$34,3,FALSE)),0)</f>
        <v>0</v>
      </c>
      <c r="M361" s="22" t="str">
        <f>IF(StaffPayroll[[#This Row],[Employee ID Number / Code]]="","",IF(StaffPayroll[[#This Row],[Position / Title]]="","",VLOOKUP(StaffPayroll[[#This Row],[Position / Title]],Lists!A:C,2,FALSE)))</f>
        <v/>
      </c>
      <c r="N361" s="22">
        <f>IF(C361="",0,StaffPayroll[[#This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1" s="31">
        <f>IF(StaffPayroll[[#This Row],[Hourly WSB  Wage Minimum]]="",0,StaffPayroll[[#This Row],[Annual NF Wage Costs after WSB Minimum]]-StaffPayroll[[#This Row],[Annual NF Wage Costs before WSB Minimum]])</f>
        <v>0</v>
      </c>
      <c r="Q361" s="31">
        <f>IFERROR(IF(StaffPayroll[[#This Row],[Annual Cost of Wage Increase included in Rate Adjustment]]=0,0,P361*'Facility Info Input'!$F$10),0)</f>
        <v>0</v>
      </c>
      <c r="R361" s="32">
        <f>IFERROR(IF(StaffPayroll[[#This Row],[Annual Cost of Wage Increase included in Rate Adjustment]]=0,0,IF('Facility Info Input'!$F$11&lt;=0,0,P361*'Facility Info Input'!$F$11)),0)</f>
        <v>0</v>
      </c>
      <c r="S361" s="32">
        <f>IFERROR(IF(StaffPayroll[[#This Row],[Annual Cost of Wage Increase included in Rate Adjustment]]=0,0,IF('Facility Info Input'!$F$12&lt;=0,0,P361*'Facility Info Input'!$F$12)),0)</f>
        <v>0</v>
      </c>
      <c r="T361" s="32">
        <f t="shared" si="10"/>
        <v>0</v>
      </c>
      <c r="U361" s="33">
        <f t="shared" si="11"/>
        <v>0</v>
      </c>
    </row>
    <row r="362" spans="1:21">
      <c r="A362" s="76"/>
      <c r="B362" s="77"/>
      <c r="C362" s="81"/>
      <c r="D362" s="82"/>
      <c r="E362" s="82"/>
      <c r="F362" s="83"/>
      <c r="G362" s="84"/>
      <c r="H362" s="85"/>
      <c r="I362" s="71" t="e">
        <f>#REF!&amp;" "&amp;StaffPayroll[[#This Row],[Employee ID Number / Code]]</f>
        <v>#REF!</v>
      </c>
      <c r="J362" s="71" t="str">
        <f>_xlfn.IFNA(VLOOKUP(StaffPayroll[[#This Row],[Position / Title]],Lists!A:C,3,FALSE),"")</f>
        <v/>
      </c>
      <c r="K362" s="71">
        <f>StaffPayroll[[#This Row],[Payroll Period Ends Date (Minimum two months)]]-StaffPayroll[[#This Row],[Payroll Period Begins Date        (Must start after 6/1/2025)]]+1</f>
        <v>1</v>
      </c>
      <c r="L362" s="38">
        <f>IFERROR(IF(VLOOKUP(J362,'Facility Info Input'!$B$25:$D$34,3,FALSE)="",1,VLOOKUP(J362,'Facility Info Input'!$B$25:$D$34,3,FALSE)),0)</f>
        <v>0</v>
      </c>
      <c r="M362" s="22" t="str">
        <f>IF(StaffPayroll[[#This Row],[Employee ID Number / Code]]="","",IF(StaffPayroll[[#This Row],[Position / Title]]="","",VLOOKUP(StaffPayroll[[#This Row],[Position / Title]],Lists!A:C,2,FALSE)))</f>
        <v/>
      </c>
      <c r="N362" s="22">
        <f>IF(C362="",0,StaffPayroll[[#This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2" s="31">
        <f>IF(StaffPayroll[[#This Row],[Hourly WSB  Wage Minimum]]="",0,StaffPayroll[[#This Row],[Annual NF Wage Costs after WSB Minimum]]-StaffPayroll[[#This Row],[Annual NF Wage Costs before WSB Minimum]])</f>
        <v>0</v>
      </c>
      <c r="Q362" s="31">
        <f>IFERROR(IF(StaffPayroll[[#This Row],[Annual Cost of Wage Increase included in Rate Adjustment]]=0,0,P362*'Facility Info Input'!$F$10),0)</f>
        <v>0</v>
      </c>
      <c r="R362" s="32">
        <f>IFERROR(IF(StaffPayroll[[#This Row],[Annual Cost of Wage Increase included in Rate Adjustment]]=0,0,IF('Facility Info Input'!$F$11&lt;=0,0,P362*'Facility Info Input'!$F$11)),0)</f>
        <v>0</v>
      </c>
      <c r="S362" s="32">
        <f>IFERROR(IF(StaffPayroll[[#This Row],[Annual Cost of Wage Increase included in Rate Adjustment]]=0,0,IF('Facility Info Input'!$F$12&lt;=0,0,P362*'Facility Info Input'!$F$12)),0)</f>
        <v>0</v>
      </c>
      <c r="T362" s="32">
        <f t="shared" si="10"/>
        <v>0</v>
      </c>
      <c r="U362" s="33">
        <f t="shared" si="11"/>
        <v>0</v>
      </c>
    </row>
    <row r="363" spans="1:21">
      <c r="A363" s="76"/>
      <c r="B363" s="77"/>
      <c r="C363" s="81"/>
      <c r="D363" s="82"/>
      <c r="E363" s="82"/>
      <c r="F363" s="83"/>
      <c r="G363" s="84"/>
      <c r="H363" s="85"/>
      <c r="I363" s="71" t="e">
        <f>#REF!&amp;" "&amp;StaffPayroll[[#This Row],[Employee ID Number / Code]]</f>
        <v>#REF!</v>
      </c>
      <c r="J363" s="71" t="str">
        <f>_xlfn.IFNA(VLOOKUP(StaffPayroll[[#This Row],[Position / Title]],Lists!A:C,3,FALSE),"")</f>
        <v/>
      </c>
      <c r="K363" s="71">
        <f>StaffPayroll[[#This Row],[Payroll Period Ends Date (Minimum two months)]]-StaffPayroll[[#This Row],[Payroll Period Begins Date        (Must start after 6/1/2025)]]+1</f>
        <v>1</v>
      </c>
      <c r="L363" s="38">
        <f>IFERROR(IF(VLOOKUP(J363,'Facility Info Input'!$B$25:$D$34,3,FALSE)="",1,VLOOKUP(J363,'Facility Info Input'!$B$25:$D$34,3,FALSE)),0)</f>
        <v>0</v>
      </c>
      <c r="M363" s="22" t="str">
        <f>IF(StaffPayroll[[#This Row],[Employee ID Number / Code]]="","",IF(StaffPayroll[[#This Row],[Position / Title]]="","",VLOOKUP(StaffPayroll[[#This Row],[Position / Title]],Lists!A:C,2,FALSE)))</f>
        <v/>
      </c>
      <c r="N363" s="22">
        <f>IF(C363="",0,StaffPayroll[[#This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3" s="31">
        <f>IF(StaffPayroll[[#This Row],[Hourly WSB  Wage Minimum]]="",0,StaffPayroll[[#This Row],[Annual NF Wage Costs after WSB Minimum]]-StaffPayroll[[#This Row],[Annual NF Wage Costs before WSB Minimum]])</f>
        <v>0</v>
      </c>
      <c r="Q363" s="31">
        <f>IFERROR(IF(StaffPayroll[[#This Row],[Annual Cost of Wage Increase included in Rate Adjustment]]=0,0,P363*'Facility Info Input'!$F$10),0)</f>
        <v>0</v>
      </c>
      <c r="R363" s="32">
        <f>IFERROR(IF(StaffPayroll[[#This Row],[Annual Cost of Wage Increase included in Rate Adjustment]]=0,0,IF('Facility Info Input'!$F$11&lt;=0,0,P363*'Facility Info Input'!$F$11)),0)</f>
        <v>0</v>
      </c>
      <c r="S363" s="32">
        <f>IFERROR(IF(StaffPayroll[[#This Row],[Annual Cost of Wage Increase included in Rate Adjustment]]=0,0,IF('Facility Info Input'!$F$12&lt;=0,0,P363*'Facility Info Input'!$F$12)),0)</f>
        <v>0</v>
      </c>
      <c r="T363" s="32">
        <f t="shared" si="10"/>
        <v>0</v>
      </c>
      <c r="U363" s="33">
        <f t="shared" si="11"/>
        <v>0</v>
      </c>
    </row>
    <row r="364" spans="1:21">
      <c r="A364" s="76"/>
      <c r="B364" s="77"/>
      <c r="C364" s="81"/>
      <c r="D364" s="82"/>
      <c r="E364" s="82"/>
      <c r="F364" s="83"/>
      <c r="G364" s="84"/>
      <c r="H364" s="85"/>
      <c r="I364" s="71" t="e">
        <f>#REF!&amp;" "&amp;StaffPayroll[[#This Row],[Employee ID Number / Code]]</f>
        <v>#REF!</v>
      </c>
      <c r="J364" s="71" t="str">
        <f>_xlfn.IFNA(VLOOKUP(StaffPayroll[[#This Row],[Position / Title]],Lists!A:C,3,FALSE),"")</f>
        <v/>
      </c>
      <c r="K364" s="71">
        <f>StaffPayroll[[#This Row],[Payroll Period Ends Date (Minimum two months)]]-StaffPayroll[[#This Row],[Payroll Period Begins Date        (Must start after 6/1/2025)]]+1</f>
        <v>1</v>
      </c>
      <c r="L364" s="38">
        <f>IFERROR(IF(VLOOKUP(J364,'Facility Info Input'!$B$25:$D$34,3,FALSE)="",1,VLOOKUP(J364,'Facility Info Input'!$B$25:$D$34,3,FALSE)),0)</f>
        <v>0</v>
      </c>
      <c r="M364" s="22" t="str">
        <f>IF(StaffPayroll[[#This Row],[Employee ID Number / Code]]="","",IF(StaffPayroll[[#This Row],[Position / Title]]="","",VLOOKUP(StaffPayroll[[#This Row],[Position / Title]],Lists!A:C,2,FALSE)))</f>
        <v/>
      </c>
      <c r="N364" s="22">
        <f>IF(C364="",0,StaffPayroll[[#This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4" s="31">
        <f>IF(StaffPayroll[[#This Row],[Hourly WSB  Wage Minimum]]="",0,StaffPayroll[[#This Row],[Annual NF Wage Costs after WSB Minimum]]-StaffPayroll[[#This Row],[Annual NF Wage Costs before WSB Minimum]])</f>
        <v>0</v>
      </c>
      <c r="Q364" s="31">
        <f>IFERROR(IF(StaffPayroll[[#This Row],[Annual Cost of Wage Increase included in Rate Adjustment]]=0,0,P364*'Facility Info Input'!$F$10),0)</f>
        <v>0</v>
      </c>
      <c r="R364" s="32">
        <f>IFERROR(IF(StaffPayroll[[#This Row],[Annual Cost of Wage Increase included in Rate Adjustment]]=0,0,IF('Facility Info Input'!$F$11&lt;=0,0,P364*'Facility Info Input'!$F$11)),0)</f>
        <v>0</v>
      </c>
      <c r="S364" s="32">
        <f>IFERROR(IF(StaffPayroll[[#This Row],[Annual Cost of Wage Increase included in Rate Adjustment]]=0,0,IF('Facility Info Input'!$F$12&lt;=0,0,P364*'Facility Info Input'!$F$12)),0)</f>
        <v>0</v>
      </c>
      <c r="T364" s="32">
        <f t="shared" si="10"/>
        <v>0</v>
      </c>
      <c r="U364" s="33">
        <f t="shared" si="11"/>
        <v>0</v>
      </c>
    </row>
    <row r="365" spans="1:21">
      <c r="A365" s="76"/>
      <c r="B365" s="77"/>
      <c r="C365" s="81"/>
      <c r="D365" s="82"/>
      <c r="E365" s="82"/>
      <c r="F365" s="83"/>
      <c r="G365" s="84"/>
      <c r="H365" s="85"/>
      <c r="I365" s="71" t="e">
        <f>#REF!&amp;" "&amp;StaffPayroll[[#This Row],[Employee ID Number / Code]]</f>
        <v>#REF!</v>
      </c>
      <c r="J365" s="71" t="str">
        <f>_xlfn.IFNA(VLOOKUP(StaffPayroll[[#This Row],[Position / Title]],Lists!A:C,3,FALSE),"")</f>
        <v/>
      </c>
      <c r="K365" s="71">
        <f>StaffPayroll[[#This Row],[Payroll Period Ends Date (Minimum two months)]]-StaffPayroll[[#This Row],[Payroll Period Begins Date        (Must start after 6/1/2025)]]+1</f>
        <v>1</v>
      </c>
      <c r="L365" s="38">
        <f>IFERROR(IF(VLOOKUP(J365,'Facility Info Input'!$B$25:$D$34,3,FALSE)="",1,VLOOKUP(J365,'Facility Info Input'!$B$25:$D$34,3,FALSE)),0)</f>
        <v>0</v>
      </c>
      <c r="M365" s="22" t="str">
        <f>IF(StaffPayroll[[#This Row],[Employee ID Number / Code]]="","",IF(StaffPayroll[[#This Row],[Position / Title]]="","",VLOOKUP(StaffPayroll[[#This Row],[Position / Title]],Lists!A:C,2,FALSE)))</f>
        <v/>
      </c>
      <c r="N365" s="22">
        <f>IF(C365="",0,StaffPayroll[[#This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5" s="31">
        <f>IF(StaffPayroll[[#This Row],[Hourly WSB  Wage Minimum]]="",0,StaffPayroll[[#This Row],[Annual NF Wage Costs after WSB Minimum]]-StaffPayroll[[#This Row],[Annual NF Wage Costs before WSB Minimum]])</f>
        <v>0</v>
      </c>
      <c r="Q365" s="31">
        <f>IFERROR(IF(StaffPayroll[[#This Row],[Annual Cost of Wage Increase included in Rate Adjustment]]=0,0,P365*'Facility Info Input'!$F$10),0)</f>
        <v>0</v>
      </c>
      <c r="R365" s="32">
        <f>IFERROR(IF(StaffPayroll[[#This Row],[Annual Cost of Wage Increase included in Rate Adjustment]]=0,0,IF('Facility Info Input'!$F$11&lt;=0,0,P365*'Facility Info Input'!$F$11)),0)</f>
        <v>0</v>
      </c>
      <c r="S365" s="32">
        <f>IFERROR(IF(StaffPayroll[[#This Row],[Annual Cost of Wage Increase included in Rate Adjustment]]=0,0,IF('Facility Info Input'!$F$12&lt;=0,0,P365*'Facility Info Input'!$F$12)),0)</f>
        <v>0</v>
      </c>
      <c r="T365" s="32">
        <f t="shared" si="10"/>
        <v>0</v>
      </c>
      <c r="U365" s="33">
        <f t="shared" si="11"/>
        <v>0</v>
      </c>
    </row>
    <row r="366" spans="1:21">
      <c r="A366" s="76"/>
      <c r="B366" s="77"/>
      <c r="C366" s="81"/>
      <c r="D366" s="82"/>
      <c r="E366" s="82"/>
      <c r="F366" s="83"/>
      <c r="G366" s="84"/>
      <c r="H366" s="85"/>
      <c r="I366" s="71" t="e">
        <f>#REF!&amp;" "&amp;StaffPayroll[[#This Row],[Employee ID Number / Code]]</f>
        <v>#REF!</v>
      </c>
      <c r="J366" s="71" t="str">
        <f>_xlfn.IFNA(VLOOKUP(StaffPayroll[[#This Row],[Position / Title]],Lists!A:C,3,FALSE),"")</f>
        <v/>
      </c>
      <c r="K366" s="71">
        <f>StaffPayroll[[#This Row],[Payroll Period Ends Date (Minimum two months)]]-StaffPayroll[[#This Row],[Payroll Period Begins Date        (Must start after 6/1/2025)]]+1</f>
        <v>1</v>
      </c>
      <c r="L366" s="38">
        <f>IFERROR(IF(VLOOKUP(J366,'Facility Info Input'!$B$25:$D$34,3,FALSE)="",1,VLOOKUP(J366,'Facility Info Input'!$B$25:$D$34,3,FALSE)),0)</f>
        <v>0</v>
      </c>
      <c r="M366" s="22" t="str">
        <f>IF(StaffPayroll[[#This Row],[Employee ID Number / Code]]="","",IF(StaffPayroll[[#This Row],[Position / Title]]="","",VLOOKUP(StaffPayroll[[#This Row],[Position / Title]],Lists!A:C,2,FALSE)))</f>
        <v/>
      </c>
      <c r="N366" s="22">
        <f>IF(C366="",0,StaffPayroll[[#This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6" s="31">
        <f>IF(StaffPayroll[[#This Row],[Hourly WSB  Wage Minimum]]="",0,StaffPayroll[[#This Row],[Annual NF Wage Costs after WSB Minimum]]-StaffPayroll[[#This Row],[Annual NF Wage Costs before WSB Minimum]])</f>
        <v>0</v>
      </c>
      <c r="Q366" s="31">
        <f>IFERROR(IF(StaffPayroll[[#This Row],[Annual Cost of Wage Increase included in Rate Adjustment]]=0,0,P366*'Facility Info Input'!$F$10),0)</f>
        <v>0</v>
      </c>
      <c r="R366" s="32">
        <f>IFERROR(IF(StaffPayroll[[#This Row],[Annual Cost of Wage Increase included in Rate Adjustment]]=0,0,IF('Facility Info Input'!$F$11&lt;=0,0,P366*'Facility Info Input'!$F$11)),0)</f>
        <v>0</v>
      </c>
      <c r="S366" s="32">
        <f>IFERROR(IF(StaffPayroll[[#This Row],[Annual Cost of Wage Increase included in Rate Adjustment]]=0,0,IF('Facility Info Input'!$F$12&lt;=0,0,P366*'Facility Info Input'!$F$12)),0)</f>
        <v>0</v>
      </c>
      <c r="T366" s="32">
        <f t="shared" si="10"/>
        <v>0</v>
      </c>
      <c r="U366" s="33">
        <f t="shared" si="11"/>
        <v>0</v>
      </c>
    </row>
    <row r="367" spans="1:21">
      <c r="A367" s="76"/>
      <c r="B367" s="77"/>
      <c r="C367" s="81"/>
      <c r="D367" s="82"/>
      <c r="E367" s="82"/>
      <c r="F367" s="83"/>
      <c r="G367" s="84"/>
      <c r="H367" s="85"/>
      <c r="I367" s="71" t="e">
        <f>#REF!&amp;" "&amp;StaffPayroll[[#This Row],[Employee ID Number / Code]]</f>
        <v>#REF!</v>
      </c>
      <c r="J367" s="71" t="str">
        <f>_xlfn.IFNA(VLOOKUP(StaffPayroll[[#This Row],[Position / Title]],Lists!A:C,3,FALSE),"")</f>
        <v/>
      </c>
      <c r="K367" s="71">
        <f>StaffPayroll[[#This Row],[Payroll Period Ends Date (Minimum two months)]]-StaffPayroll[[#This Row],[Payroll Period Begins Date        (Must start after 6/1/2025)]]+1</f>
        <v>1</v>
      </c>
      <c r="L367" s="38">
        <f>IFERROR(IF(VLOOKUP(J367,'Facility Info Input'!$B$25:$D$34,3,FALSE)="",1,VLOOKUP(J367,'Facility Info Input'!$B$25:$D$34,3,FALSE)),0)</f>
        <v>0</v>
      </c>
      <c r="M367" s="22" t="str">
        <f>IF(StaffPayroll[[#This Row],[Employee ID Number / Code]]="","",IF(StaffPayroll[[#This Row],[Position / Title]]="","",VLOOKUP(StaffPayroll[[#This Row],[Position / Title]],Lists!A:C,2,FALSE)))</f>
        <v/>
      </c>
      <c r="N367" s="22">
        <f>IF(C367="",0,StaffPayroll[[#This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7" s="31">
        <f>IF(StaffPayroll[[#This Row],[Hourly WSB  Wage Minimum]]="",0,StaffPayroll[[#This Row],[Annual NF Wage Costs after WSB Minimum]]-StaffPayroll[[#This Row],[Annual NF Wage Costs before WSB Minimum]])</f>
        <v>0</v>
      </c>
      <c r="Q367" s="31">
        <f>IFERROR(IF(StaffPayroll[[#This Row],[Annual Cost of Wage Increase included in Rate Adjustment]]=0,0,P367*'Facility Info Input'!$F$10),0)</f>
        <v>0</v>
      </c>
      <c r="R367" s="32">
        <f>IFERROR(IF(StaffPayroll[[#This Row],[Annual Cost of Wage Increase included in Rate Adjustment]]=0,0,IF('Facility Info Input'!$F$11&lt;=0,0,P367*'Facility Info Input'!$F$11)),0)</f>
        <v>0</v>
      </c>
      <c r="S367" s="32">
        <f>IFERROR(IF(StaffPayroll[[#This Row],[Annual Cost of Wage Increase included in Rate Adjustment]]=0,0,IF('Facility Info Input'!$F$12&lt;=0,0,P367*'Facility Info Input'!$F$12)),0)</f>
        <v>0</v>
      </c>
      <c r="T367" s="32">
        <f t="shared" si="10"/>
        <v>0</v>
      </c>
      <c r="U367" s="33">
        <f t="shared" si="11"/>
        <v>0</v>
      </c>
    </row>
    <row r="368" spans="1:21">
      <c r="A368" s="76"/>
      <c r="B368" s="77"/>
      <c r="C368" s="81"/>
      <c r="D368" s="82"/>
      <c r="E368" s="82"/>
      <c r="F368" s="83"/>
      <c r="G368" s="84"/>
      <c r="H368" s="85"/>
      <c r="I368" s="71" t="e">
        <f>#REF!&amp;" "&amp;StaffPayroll[[#This Row],[Employee ID Number / Code]]</f>
        <v>#REF!</v>
      </c>
      <c r="J368" s="71" t="str">
        <f>_xlfn.IFNA(VLOOKUP(StaffPayroll[[#This Row],[Position / Title]],Lists!A:C,3,FALSE),"")</f>
        <v/>
      </c>
      <c r="K368" s="71">
        <f>StaffPayroll[[#This Row],[Payroll Period Ends Date (Minimum two months)]]-StaffPayroll[[#This Row],[Payroll Period Begins Date        (Must start after 6/1/2025)]]+1</f>
        <v>1</v>
      </c>
      <c r="L368" s="38">
        <f>IFERROR(IF(VLOOKUP(J368,'Facility Info Input'!$B$25:$D$34,3,FALSE)="",1,VLOOKUP(J368,'Facility Info Input'!$B$25:$D$34,3,FALSE)),0)</f>
        <v>0</v>
      </c>
      <c r="M368" s="22" t="str">
        <f>IF(StaffPayroll[[#This Row],[Employee ID Number / Code]]="","",IF(StaffPayroll[[#This Row],[Position / Title]]="","",VLOOKUP(StaffPayroll[[#This Row],[Position / Title]],Lists!A:C,2,FALSE)))</f>
        <v/>
      </c>
      <c r="N368" s="22">
        <f>IF(C368="",0,StaffPayroll[[#This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8" s="31">
        <f>IF(StaffPayroll[[#This Row],[Hourly WSB  Wage Minimum]]="",0,StaffPayroll[[#This Row],[Annual NF Wage Costs after WSB Minimum]]-StaffPayroll[[#This Row],[Annual NF Wage Costs before WSB Minimum]])</f>
        <v>0</v>
      </c>
      <c r="Q368" s="31">
        <f>IFERROR(IF(StaffPayroll[[#This Row],[Annual Cost of Wage Increase included in Rate Adjustment]]=0,0,P368*'Facility Info Input'!$F$10),0)</f>
        <v>0</v>
      </c>
      <c r="R368" s="32">
        <f>IFERROR(IF(StaffPayroll[[#This Row],[Annual Cost of Wage Increase included in Rate Adjustment]]=0,0,IF('Facility Info Input'!$F$11&lt;=0,0,P368*'Facility Info Input'!$F$11)),0)</f>
        <v>0</v>
      </c>
      <c r="S368" s="32">
        <f>IFERROR(IF(StaffPayroll[[#This Row],[Annual Cost of Wage Increase included in Rate Adjustment]]=0,0,IF('Facility Info Input'!$F$12&lt;=0,0,P368*'Facility Info Input'!$F$12)),0)</f>
        <v>0</v>
      </c>
      <c r="T368" s="32">
        <f t="shared" si="10"/>
        <v>0</v>
      </c>
      <c r="U368" s="33">
        <f t="shared" si="11"/>
        <v>0</v>
      </c>
    </row>
    <row r="369" spans="1:21">
      <c r="A369" s="76"/>
      <c r="B369" s="77"/>
      <c r="C369" s="81"/>
      <c r="D369" s="82"/>
      <c r="E369" s="82"/>
      <c r="F369" s="83"/>
      <c r="G369" s="84"/>
      <c r="H369" s="85"/>
      <c r="I369" s="71" t="e">
        <f>#REF!&amp;" "&amp;StaffPayroll[[#This Row],[Employee ID Number / Code]]</f>
        <v>#REF!</v>
      </c>
      <c r="J369" s="71" t="str">
        <f>_xlfn.IFNA(VLOOKUP(StaffPayroll[[#This Row],[Position / Title]],Lists!A:C,3,FALSE),"")</f>
        <v/>
      </c>
      <c r="K369" s="71">
        <f>StaffPayroll[[#This Row],[Payroll Period Ends Date (Minimum two months)]]-StaffPayroll[[#This Row],[Payroll Period Begins Date        (Must start after 6/1/2025)]]+1</f>
        <v>1</v>
      </c>
      <c r="L369" s="38">
        <f>IFERROR(IF(VLOOKUP(J369,'Facility Info Input'!$B$25:$D$34,3,FALSE)="",1,VLOOKUP(J369,'Facility Info Input'!$B$25:$D$34,3,FALSE)),0)</f>
        <v>0</v>
      </c>
      <c r="M369" s="22" t="str">
        <f>IF(StaffPayroll[[#This Row],[Employee ID Number / Code]]="","",IF(StaffPayroll[[#This Row],[Position / Title]]="","",VLOOKUP(StaffPayroll[[#This Row],[Position / Title]],Lists!A:C,2,FALSE)))</f>
        <v/>
      </c>
      <c r="N369" s="22">
        <f>IF(C369="",0,StaffPayroll[[#This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6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69" s="31">
        <f>IF(StaffPayroll[[#This Row],[Hourly WSB  Wage Minimum]]="",0,StaffPayroll[[#This Row],[Annual NF Wage Costs after WSB Minimum]]-StaffPayroll[[#This Row],[Annual NF Wage Costs before WSB Minimum]])</f>
        <v>0</v>
      </c>
      <c r="Q369" s="31">
        <f>IFERROR(IF(StaffPayroll[[#This Row],[Annual Cost of Wage Increase included in Rate Adjustment]]=0,0,P369*'Facility Info Input'!$F$10),0)</f>
        <v>0</v>
      </c>
      <c r="R369" s="32">
        <f>IFERROR(IF(StaffPayroll[[#This Row],[Annual Cost of Wage Increase included in Rate Adjustment]]=0,0,IF('Facility Info Input'!$F$11&lt;=0,0,P369*'Facility Info Input'!$F$11)),0)</f>
        <v>0</v>
      </c>
      <c r="S369" s="32">
        <f>IFERROR(IF(StaffPayroll[[#This Row],[Annual Cost of Wage Increase included in Rate Adjustment]]=0,0,IF('Facility Info Input'!$F$12&lt;=0,0,P369*'Facility Info Input'!$F$12)),0)</f>
        <v>0</v>
      </c>
      <c r="T369" s="32">
        <f t="shared" si="10"/>
        <v>0</v>
      </c>
      <c r="U369" s="33">
        <f t="shared" si="11"/>
        <v>0</v>
      </c>
    </row>
    <row r="370" spans="1:21">
      <c r="A370" s="76"/>
      <c r="B370" s="77"/>
      <c r="C370" s="81"/>
      <c r="D370" s="82"/>
      <c r="E370" s="82"/>
      <c r="F370" s="83"/>
      <c r="G370" s="84"/>
      <c r="H370" s="85"/>
      <c r="I370" s="71" t="e">
        <f>#REF!&amp;" "&amp;StaffPayroll[[#This Row],[Employee ID Number / Code]]</f>
        <v>#REF!</v>
      </c>
      <c r="J370" s="71" t="str">
        <f>_xlfn.IFNA(VLOOKUP(StaffPayroll[[#This Row],[Position / Title]],Lists!A:C,3,FALSE),"")</f>
        <v/>
      </c>
      <c r="K370" s="71">
        <f>StaffPayroll[[#This Row],[Payroll Period Ends Date (Minimum two months)]]-StaffPayroll[[#This Row],[Payroll Period Begins Date        (Must start after 6/1/2025)]]+1</f>
        <v>1</v>
      </c>
      <c r="L370" s="38">
        <f>IFERROR(IF(VLOOKUP(J370,'Facility Info Input'!$B$25:$D$34,3,FALSE)="",1,VLOOKUP(J370,'Facility Info Input'!$B$25:$D$34,3,FALSE)),0)</f>
        <v>0</v>
      </c>
      <c r="M370" s="22" t="str">
        <f>IF(StaffPayroll[[#This Row],[Employee ID Number / Code]]="","",IF(StaffPayroll[[#This Row],[Position / Title]]="","",VLOOKUP(StaffPayroll[[#This Row],[Position / Title]],Lists!A:C,2,FALSE)))</f>
        <v/>
      </c>
      <c r="N370" s="22">
        <f>IF(C370="",0,StaffPayroll[[#This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0" s="31">
        <f>IF(StaffPayroll[[#This Row],[Hourly WSB  Wage Minimum]]="",0,StaffPayroll[[#This Row],[Annual NF Wage Costs after WSB Minimum]]-StaffPayroll[[#This Row],[Annual NF Wage Costs before WSB Minimum]])</f>
        <v>0</v>
      </c>
      <c r="Q370" s="31">
        <f>IFERROR(IF(StaffPayroll[[#This Row],[Annual Cost of Wage Increase included in Rate Adjustment]]=0,0,P370*'Facility Info Input'!$F$10),0)</f>
        <v>0</v>
      </c>
      <c r="R370" s="32">
        <f>IFERROR(IF(StaffPayroll[[#This Row],[Annual Cost of Wage Increase included in Rate Adjustment]]=0,0,IF('Facility Info Input'!$F$11&lt;=0,0,P370*'Facility Info Input'!$F$11)),0)</f>
        <v>0</v>
      </c>
      <c r="S370" s="32">
        <f>IFERROR(IF(StaffPayroll[[#This Row],[Annual Cost of Wage Increase included in Rate Adjustment]]=0,0,IF('Facility Info Input'!$F$12&lt;=0,0,P370*'Facility Info Input'!$F$12)),0)</f>
        <v>0</v>
      </c>
      <c r="T370" s="32">
        <f t="shared" si="10"/>
        <v>0</v>
      </c>
      <c r="U370" s="33">
        <f t="shared" si="11"/>
        <v>0</v>
      </c>
    </row>
    <row r="371" spans="1:21">
      <c r="A371" s="76"/>
      <c r="B371" s="77"/>
      <c r="C371" s="81"/>
      <c r="D371" s="82"/>
      <c r="E371" s="82"/>
      <c r="F371" s="83"/>
      <c r="G371" s="84"/>
      <c r="H371" s="85"/>
      <c r="I371" s="71" t="e">
        <f>#REF!&amp;" "&amp;StaffPayroll[[#This Row],[Employee ID Number / Code]]</f>
        <v>#REF!</v>
      </c>
      <c r="J371" s="71" t="str">
        <f>_xlfn.IFNA(VLOOKUP(StaffPayroll[[#This Row],[Position / Title]],Lists!A:C,3,FALSE),"")</f>
        <v/>
      </c>
      <c r="K371" s="71">
        <f>StaffPayroll[[#This Row],[Payroll Period Ends Date (Minimum two months)]]-StaffPayroll[[#This Row],[Payroll Period Begins Date        (Must start after 6/1/2025)]]+1</f>
        <v>1</v>
      </c>
      <c r="L371" s="38">
        <f>IFERROR(IF(VLOOKUP(J371,'Facility Info Input'!$B$25:$D$34,3,FALSE)="",1,VLOOKUP(J371,'Facility Info Input'!$B$25:$D$34,3,FALSE)),0)</f>
        <v>0</v>
      </c>
      <c r="M371" s="22" t="str">
        <f>IF(StaffPayroll[[#This Row],[Employee ID Number / Code]]="","",IF(StaffPayroll[[#This Row],[Position / Title]]="","",VLOOKUP(StaffPayroll[[#This Row],[Position / Title]],Lists!A:C,2,FALSE)))</f>
        <v/>
      </c>
      <c r="N371" s="22">
        <f>IF(C371="",0,StaffPayroll[[#This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1" s="31">
        <f>IF(StaffPayroll[[#This Row],[Hourly WSB  Wage Minimum]]="",0,StaffPayroll[[#This Row],[Annual NF Wage Costs after WSB Minimum]]-StaffPayroll[[#This Row],[Annual NF Wage Costs before WSB Minimum]])</f>
        <v>0</v>
      </c>
      <c r="Q371" s="31">
        <f>IFERROR(IF(StaffPayroll[[#This Row],[Annual Cost of Wage Increase included in Rate Adjustment]]=0,0,P371*'Facility Info Input'!$F$10),0)</f>
        <v>0</v>
      </c>
      <c r="R371" s="32">
        <f>IFERROR(IF(StaffPayroll[[#This Row],[Annual Cost of Wage Increase included in Rate Adjustment]]=0,0,IF('Facility Info Input'!$F$11&lt;=0,0,P371*'Facility Info Input'!$F$11)),0)</f>
        <v>0</v>
      </c>
      <c r="S371" s="32">
        <f>IFERROR(IF(StaffPayroll[[#This Row],[Annual Cost of Wage Increase included in Rate Adjustment]]=0,0,IF('Facility Info Input'!$F$12&lt;=0,0,P371*'Facility Info Input'!$F$12)),0)</f>
        <v>0</v>
      </c>
      <c r="T371" s="32">
        <f t="shared" si="10"/>
        <v>0</v>
      </c>
      <c r="U371" s="33">
        <f t="shared" si="11"/>
        <v>0</v>
      </c>
    </row>
    <row r="372" spans="1:21">
      <c r="A372" s="76"/>
      <c r="B372" s="77"/>
      <c r="C372" s="81"/>
      <c r="D372" s="82"/>
      <c r="E372" s="82"/>
      <c r="F372" s="83"/>
      <c r="G372" s="84"/>
      <c r="H372" s="85"/>
      <c r="I372" s="71" t="e">
        <f>#REF!&amp;" "&amp;StaffPayroll[[#This Row],[Employee ID Number / Code]]</f>
        <v>#REF!</v>
      </c>
      <c r="J372" s="71" t="str">
        <f>_xlfn.IFNA(VLOOKUP(StaffPayroll[[#This Row],[Position / Title]],Lists!A:C,3,FALSE),"")</f>
        <v/>
      </c>
      <c r="K372" s="71">
        <f>StaffPayroll[[#This Row],[Payroll Period Ends Date (Minimum two months)]]-StaffPayroll[[#This Row],[Payroll Period Begins Date        (Must start after 6/1/2025)]]+1</f>
        <v>1</v>
      </c>
      <c r="L372" s="38">
        <f>IFERROR(IF(VLOOKUP(J372,'Facility Info Input'!$B$25:$D$34,3,FALSE)="",1,VLOOKUP(J372,'Facility Info Input'!$B$25:$D$34,3,FALSE)),0)</f>
        <v>0</v>
      </c>
      <c r="M372" s="22" t="str">
        <f>IF(StaffPayroll[[#This Row],[Employee ID Number / Code]]="","",IF(StaffPayroll[[#This Row],[Position / Title]]="","",VLOOKUP(StaffPayroll[[#This Row],[Position / Title]],Lists!A:C,2,FALSE)))</f>
        <v/>
      </c>
      <c r="N372" s="22">
        <f>IF(C372="",0,StaffPayroll[[#This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2" s="31">
        <f>IF(StaffPayroll[[#This Row],[Hourly WSB  Wage Minimum]]="",0,StaffPayroll[[#This Row],[Annual NF Wage Costs after WSB Minimum]]-StaffPayroll[[#This Row],[Annual NF Wage Costs before WSB Minimum]])</f>
        <v>0</v>
      </c>
      <c r="Q372" s="31">
        <f>IFERROR(IF(StaffPayroll[[#This Row],[Annual Cost of Wage Increase included in Rate Adjustment]]=0,0,P372*'Facility Info Input'!$F$10),0)</f>
        <v>0</v>
      </c>
      <c r="R372" s="32">
        <f>IFERROR(IF(StaffPayroll[[#This Row],[Annual Cost of Wage Increase included in Rate Adjustment]]=0,0,IF('Facility Info Input'!$F$11&lt;=0,0,P372*'Facility Info Input'!$F$11)),0)</f>
        <v>0</v>
      </c>
      <c r="S372" s="32">
        <f>IFERROR(IF(StaffPayroll[[#This Row],[Annual Cost of Wage Increase included in Rate Adjustment]]=0,0,IF('Facility Info Input'!$F$12&lt;=0,0,P372*'Facility Info Input'!$F$12)),0)</f>
        <v>0</v>
      </c>
      <c r="T372" s="32">
        <f t="shared" si="10"/>
        <v>0</v>
      </c>
      <c r="U372" s="33">
        <f t="shared" si="11"/>
        <v>0</v>
      </c>
    </row>
    <row r="373" spans="1:21">
      <c r="A373" s="76"/>
      <c r="B373" s="77"/>
      <c r="C373" s="81"/>
      <c r="D373" s="82"/>
      <c r="E373" s="82"/>
      <c r="F373" s="83"/>
      <c r="G373" s="84"/>
      <c r="H373" s="85"/>
      <c r="I373" s="71" t="e">
        <f>#REF!&amp;" "&amp;StaffPayroll[[#This Row],[Employee ID Number / Code]]</f>
        <v>#REF!</v>
      </c>
      <c r="J373" s="71" t="str">
        <f>_xlfn.IFNA(VLOOKUP(StaffPayroll[[#This Row],[Position / Title]],Lists!A:C,3,FALSE),"")</f>
        <v/>
      </c>
      <c r="K373" s="71">
        <f>StaffPayroll[[#This Row],[Payroll Period Ends Date (Minimum two months)]]-StaffPayroll[[#This Row],[Payroll Period Begins Date        (Must start after 6/1/2025)]]+1</f>
        <v>1</v>
      </c>
      <c r="L373" s="38">
        <f>IFERROR(IF(VLOOKUP(J373,'Facility Info Input'!$B$25:$D$34,3,FALSE)="",1,VLOOKUP(J373,'Facility Info Input'!$B$25:$D$34,3,FALSE)),0)</f>
        <v>0</v>
      </c>
      <c r="M373" s="22" t="str">
        <f>IF(StaffPayroll[[#This Row],[Employee ID Number / Code]]="","",IF(StaffPayroll[[#This Row],[Position / Title]]="","",VLOOKUP(StaffPayroll[[#This Row],[Position / Title]],Lists!A:C,2,FALSE)))</f>
        <v/>
      </c>
      <c r="N373" s="22">
        <f>IF(C373="",0,StaffPayroll[[#This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3" s="31">
        <f>IF(StaffPayroll[[#This Row],[Hourly WSB  Wage Minimum]]="",0,StaffPayroll[[#This Row],[Annual NF Wage Costs after WSB Minimum]]-StaffPayroll[[#This Row],[Annual NF Wage Costs before WSB Minimum]])</f>
        <v>0</v>
      </c>
      <c r="Q373" s="31">
        <f>IFERROR(IF(StaffPayroll[[#This Row],[Annual Cost of Wage Increase included in Rate Adjustment]]=0,0,P373*'Facility Info Input'!$F$10),0)</f>
        <v>0</v>
      </c>
      <c r="R373" s="32">
        <f>IFERROR(IF(StaffPayroll[[#This Row],[Annual Cost of Wage Increase included in Rate Adjustment]]=0,0,IF('Facility Info Input'!$F$11&lt;=0,0,P373*'Facility Info Input'!$F$11)),0)</f>
        <v>0</v>
      </c>
      <c r="S373" s="32">
        <f>IFERROR(IF(StaffPayroll[[#This Row],[Annual Cost of Wage Increase included in Rate Adjustment]]=0,0,IF('Facility Info Input'!$F$12&lt;=0,0,P373*'Facility Info Input'!$F$12)),0)</f>
        <v>0</v>
      </c>
      <c r="T373" s="32">
        <f t="shared" si="10"/>
        <v>0</v>
      </c>
      <c r="U373" s="33">
        <f t="shared" si="11"/>
        <v>0</v>
      </c>
    </row>
    <row r="374" spans="1:21">
      <c r="A374" s="76"/>
      <c r="B374" s="77"/>
      <c r="C374" s="81"/>
      <c r="D374" s="82"/>
      <c r="E374" s="82"/>
      <c r="F374" s="83"/>
      <c r="G374" s="84"/>
      <c r="H374" s="85"/>
      <c r="I374" s="71" t="e">
        <f>#REF!&amp;" "&amp;StaffPayroll[[#This Row],[Employee ID Number / Code]]</f>
        <v>#REF!</v>
      </c>
      <c r="J374" s="71" t="str">
        <f>_xlfn.IFNA(VLOOKUP(StaffPayroll[[#This Row],[Position / Title]],Lists!A:C,3,FALSE),"")</f>
        <v/>
      </c>
      <c r="K374" s="71">
        <f>StaffPayroll[[#This Row],[Payroll Period Ends Date (Minimum two months)]]-StaffPayroll[[#This Row],[Payroll Period Begins Date        (Must start after 6/1/2025)]]+1</f>
        <v>1</v>
      </c>
      <c r="L374" s="38">
        <f>IFERROR(IF(VLOOKUP(J374,'Facility Info Input'!$B$25:$D$34,3,FALSE)="",1,VLOOKUP(J374,'Facility Info Input'!$B$25:$D$34,3,FALSE)),0)</f>
        <v>0</v>
      </c>
      <c r="M374" s="22" t="str">
        <f>IF(StaffPayroll[[#This Row],[Employee ID Number / Code]]="","",IF(StaffPayroll[[#This Row],[Position / Title]]="","",VLOOKUP(StaffPayroll[[#This Row],[Position / Title]],Lists!A:C,2,FALSE)))</f>
        <v/>
      </c>
      <c r="N374" s="22">
        <f>IF(C374="",0,StaffPayroll[[#This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4" s="31">
        <f>IF(StaffPayroll[[#This Row],[Hourly WSB  Wage Minimum]]="",0,StaffPayroll[[#This Row],[Annual NF Wage Costs after WSB Minimum]]-StaffPayroll[[#This Row],[Annual NF Wage Costs before WSB Minimum]])</f>
        <v>0</v>
      </c>
      <c r="Q374" s="31">
        <f>IFERROR(IF(StaffPayroll[[#This Row],[Annual Cost of Wage Increase included in Rate Adjustment]]=0,0,P374*'Facility Info Input'!$F$10),0)</f>
        <v>0</v>
      </c>
      <c r="R374" s="32">
        <f>IFERROR(IF(StaffPayroll[[#This Row],[Annual Cost of Wage Increase included in Rate Adjustment]]=0,0,IF('Facility Info Input'!$F$11&lt;=0,0,P374*'Facility Info Input'!$F$11)),0)</f>
        <v>0</v>
      </c>
      <c r="S374" s="32">
        <f>IFERROR(IF(StaffPayroll[[#This Row],[Annual Cost of Wage Increase included in Rate Adjustment]]=0,0,IF('Facility Info Input'!$F$12&lt;=0,0,P374*'Facility Info Input'!$F$12)),0)</f>
        <v>0</v>
      </c>
      <c r="T374" s="32">
        <f t="shared" si="10"/>
        <v>0</v>
      </c>
      <c r="U374" s="33">
        <f t="shared" si="11"/>
        <v>0</v>
      </c>
    </row>
    <row r="375" spans="1:21">
      <c r="A375" s="76"/>
      <c r="B375" s="77"/>
      <c r="C375" s="81"/>
      <c r="D375" s="82"/>
      <c r="E375" s="82"/>
      <c r="F375" s="83"/>
      <c r="G375" s="84"/>
      <c r="H375" s="85"/>
      <c r="I375" s="71" t="e">
        <f>#REF!&amp;" "&amp;StaffPayroll[[#This Row],[Employee ID Number / Code]]</f>
        <v>#REF!</v>
      </c>
      <c r="J375" s="71" t="str">
        <f>_xlfn.IFNA(VLOOKUP(StaffPayroll[[#This Row],[Position / Title]],Lists!A:C,3,FALSE),"")</f>
        <v/>
      </c>
      <c r="K375" s="71">
        <f>StaffPayroll[[#This Row],[Payroll Period Ends Date (Minimum two months)]]-StaffPayroll[[#This Row],[Payroll Period Begins Date        (Must start after 6/1/2025)]]+1</f>
        <v>1</v>
      </c>
      <c r="L375" s="38">
        <f>IFERROR(IF(VLOOKUP(J375,'Facility Info Input'!$B$25:$D$34,3,FALSE)="",1,VLOOKUP(J375,'Facility Info Input'!$B$25:$D$34,3,FALSE)),0)</f>
        <v>0</v>
      </c>
      <c r="M375" s="22" t="str">
        <f>IF(StaffPayroll[[#This Row],[Employee ID Number / Code]]="","",IF(StaffPayroll[[#This Row],[Position / Title]]="","",VLOOKUP(StaffPayroll[[#This Row],[Position / Title]],Lists!A:C,2,FALSE)))</f>
        <v/>
      </c>
      <c r="N375" s="22">
        <f>IF(C375="",0,StaffPayroll[[#This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5" s="31">
        <f>IF(StaffPayroll[[#This Row],[Hourly WSB  Wage Minimum]]="",0,StaffPayroll[[#This Row],[Annual NF Wage Costs after WSB Minimum]]-StaffPayroll[[#This Row],[Annual NF Wage Costs before WSB Minimum]])</f>
        <v>0</v>
      </c>
      <c r="Q375" s="31">
        <f>IFERROR(IF(StaffPayroll[[#This Row],[Annual Cost of Wage Increase included in Rate Adjustment]]=0,0,P375*'Facility Info Input'!$F$10),0)</f>
        <v>0</v>
      </c>
      <c r="R375" s="32">
        <f>IFERROR(IF(StaffPayroll[[#This Row],[Annual Cost of Wage Increase included in Rate Adjustment]]=0,0,IF('Facility Info Input'!$F$11&lt;=0,0,P375*'Facility Info Input'!$F$11)),0)</f>
        <v>0</v>
      </c>
      <c r="S375" s="32">
        <f>IFERROR(IF(StaffPayroll[[#This Row],[Annual Cost of Wage Increase included in Rate Adjustment]]=0,0,IF('Facility Info Input'!$F$12&lt;=0,0,P375*'Facility Info Input'!$F$12)),0)</f>
        <v>0</v>
      </c>
      <c r="T375" s="32">
        <f t="shared" si="10"/>
        <v>0</v>
      </c>
      <c r="U375" s="33">
        <f t="shared" si="11"/>
        <v>0</v>
      </c>
    </row>
    <row r="376" spans="1:21">
      <c r="A376" s="76"/>
      <c r="B376" s="77"/>
      <c r="C376" s="81"/>
      <c r="D376" s="82"/>
      <c r="E376" s="82"/>
      <c r="F376" s="83"/>
      <c r="G376" s="84"/>
      <c r="H376" s="85"/>
      <c r="I376" s="71" t="e">
        <f>#REF!&amp;" "&amp;StaffPayroll[[#This Row],[Employee ID Number / Code]]</f>
        <v>#REF!</v>
      </c>
      <c r="J376" s="71" t="str">
        <f>_xlfn.IFNA(VLOOKUP(StaffPayroll[[#This Row],[Position / Title]],Lists!A:C,3,FALSE),"")</f>
        <v/>
      </c>
      <c r="K376" s="71">
        <f>StaffPayroll[[#This Row],[Payroll Period Ends Date (Minimum two months)]]-StaffPayroll[[#This Row],[Payroll Period Begins Date        (Must start after 6/1/2025)]]+1</f>
        <v>1</v>
      </c>
      <c r="L376" s="38">
        <f>IFERROR(IF(VLOOKUP(J376,'Facility Info Input'!$B$25:$D$34,3,FALSE)="",1,VLOOKUP(J376,'Facility Info Input'!$B$25:$D$34,3,FALSE)),0)</f>
        <v>0</v>
      </c>
      <c r="M376" s="22" t="str">
        <f>IF(StaffPayroll[[#This Row],[Employee ID Number / Code]]="","",IF(StaffPayroll[[#This Row],[Position / Title]]="","",VLOOKUP(StaffPayroll[[#This Row],[Position / Title]],Lists!A:C,2,FALSE)))</f>
        <v/>
      </c>
      <c r="N376" s="22">
        <f>IF(C376="",0,StaffPayroll[[#This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6" s="31">
        <f>IF(StaffPayroll[[#This Row],[Hourly WSB  Wage Minimum]]="",0,StaffPayroll[[#This Row],[Annual NF Wage Costs after WSB Minimum]]-StaffPayroll[[#This Row],[Annual NF Wage Costs before WSB Minimum]])</f>
        <v>0</v>
      </c>
      <c r="Q376" s="31">
        <f>IFERROR(IF(StaffPayroll[[#This Row],[Annual Cost of Wage Increase included in Rate Adjustment]]=0,0,P376*'Facility Info Input'!$F$10),0)</f>
        <v>0</v>
      </c>
      <c r="R376" s="32">
        <f>IFERROR(IF(StaffPayroll[[#This Row],[Annual Cost of Wage Increase included in Rate Adjustment]]=0,0,IF('Facility Info Input'!$F$11&lt;=0,0,P376*'Facility Info Input'!$F$11)),0)</f>
        <v>0</v>
      </c>
      <c r="S376" s="32">
        <f>IFERROR(IF(StaffPayroll[[#This Row],[Annual Cost of Wage Increase included in Rate Adjustment]]=0,0,IF('Facility Info Input'!$F$12&lt;=0,0,P376*'Facility Info Input'!$F$12)),0)</f>
        <v>0</v>
      </c>
      <c r="T376" s="32">
        <f t="shared" si="10"/>
        <v>0</v>
      </c>
      <c r="U376" s="33">
        <f t="shared" si="11"/>
        <v>0</v>
      </c>
    </row>
    <row r="377" spans="1:21">
      <c r="A377" s="76"/>
      <c r="B377" s="77"/>
      <c r="C377" s="81"/>
      <c r="D377" s="82"/>
      <c r="E377" s="82"/>
      <c r="F377" s="83"/>
      <c r="G377" s="84"/>
      <c r="H377" s="85"/>
      <c r="I377" s="71" t="e">
        <f>#REF!&amp;" "&amp;StaffPayroll[[#This Row],[Employee ID Number / Code]]</f>
        <v>#REF!</v>
      </c>
      <c r="J377" s="71" t="str">
        <f>_xlfn.IFNA(VLOOKUP(StaffPayroll[[#This Row],[Position / Title]],Lists!A:C,3,FALSE),"")</f>
        <v/>
      </c>
      <c r="K377" s="71">
        <f>StaffPayroll[[#This Row],[Payroll Period Ends Date (Minimum two months)]]-StaffPayroll[[#This Row],[Payroll Period Begins Date        (Must start after 6/1/2025)]]+1</f>
        <v>1</v>
      </c>
      <c r="L377" s="38">
        <f>IFERROR(IF(VLOOKUP(J377,'Facility Info Input'!$B$25:$D$34,3,FALSE)="",1,VLOOKUP(J377,'Facility Info Input'!$B$25:$D$34,3,FALSE)),0)</f>
        <v>0</v>
      </c>
      <c r="M377" s="22" t="str">
        <f>IF(StaffPayroll[[#This Row],[Employee ID Number / Code]]="","",IF(StaffPayroll[[#This Row],[Position / Title]]="","",VLOOKUP(StaffPayroll[[#This Row],[Position / Title]],Lists!A:C,2,FALSE)))</f>
        <v/>
      </c>
      <c r="N377" s="22">
        <f>IF(C377="",0,StaffPayroll[[#This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7" s="31">
        <f>IF(StaffPayroll[[#This Row],[Hourly WSB  Wage Minimum]]="",0,StaffPayroll[[#This Row],[Annual NF Wage Costs after WSB Minimum]]-StaffPayroll[[#This Row],[Annual NF Wage Costs before WSB Minimum]])</f>
        <v>0</v>
      </c>
      <c r="Q377" s="31">
        <f>IFERROR(IF(StaffPayroll[[#This Row],[Annual Cost of Wage Increase included in Rate Adjustment]]=0,0,P377*'Facility Info Input'!$F$10),0)</f>
        <v>0</v>
      </c>
      <c r="R377" s="32">
        <f>IFERROR(IF(StaffPayroll[[#This Row],[Annual Cost of Wage Increase included in Rate Adjustment]]=0,0,IF('Facility Info Input'!$F$11&lt;=0,0,P377*'Facility Info Input'!$F$11)),0)</f>
        <v>0</v>
      </c>
      <c r="S377" s="32">
        <f>IFERROR(IF(StaffPayroll[[#This Row],[Annual Cost of Wage Increase included in Rate Adjustment]]=0,0,IF('Facility Info Input'!$F$12&lt;=0,0,P377*'Facility Info Input'!$F$12)),0)</f>
        <v>0</v>
      </c>
      <c r="T377" s="32">
        <f t="shared" si="10"/>
        <v>0</v>
      </c>
      <c r="U377" s="33">
        <f t="shared" si="11"/>
        <v>0</v>
      </c>
    </row>
    <row r="378" spans="1:21">
      <c r="A378" s="76"/>
      <c r="B378" s="77"/>
      <c r="C378" s="81"/>
      <c r="D378" s="82"/>
      <c r="E378" s="82"/>
      <c r="F378" s="83"/>
      <c r="G378" s="84"/>
      <c r="H378" s="85"/>
      <c r="I378" s="71" t="e">
        <f>#REF!&amp;" "&amp;StaffPayroll[[#This Row],[Employee ID Number / Code]]</f>
        <v>#REF!</v>
      </c>
      <c r="J378" s="71" t="str">
        <f>_xlfn.IFNA(VLOOKUP(StaffPayroll[[#This Row],[Position / Title]],Lists!A:C,3,FALSE),"")</f>
        <v/>
      </c>
      <c r="K378" s="71">
        <f>StaffPayroll[[#This Row],[Payroll Period Ends Date (Minimum two months)]]-StaffPayroll[[#This Row],[Payroll Period Begins Date        (Must start after 6/1/2025)]]+1</f>
        <v>1</v>
      </c>
      <c r="L378" s="38">
        <f>IFERROR(IF(VLOOKUP(J378,'Facility Info Input'!$B$25:$D$34,3,FALSE)="",1,VLOOKUP(J378,'Facility Info Input'!$B$25:$D$34,3,FALSE)),0)</f>
        <v>0</v>
      </c>
      <c r="M378" s="22" t="str">
        <f>IF(StaffPayroll[[#This Row],[Employee ID Number / Code]]="","",IF(StaffPayroll[[#This Row],[Position / Title]]="","",VLOOKUP(StaffPayroll[[#This Row],[Position / Title]],Lists!A:C,2,FALSE)))</f>
        <v/>
      </c>
      <c r="N378" s="22">
        <f>IF(C378="",0,StaffPayroll[[#This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8" s="31">
        <f>IF(StaffPayroll[[#This Row],[Hourly WSB  Wage Minimum]]="",0,StaffPayroll[[#This Row],[Annual NF Wage Costs after WSB Minimum]]-StaffPayroll[[#This Row],[Annual NF Wage Costs before WSB Minimum]])</f>
        <v>0</v>
      </c>
      <c r="Q378" s="31">
        <f>IFERROR(IF(StaffPayroll[[#This Row],[Annual Cost of Wage Increase included in Rate Adjustment]]=0,0,P378*'Facility Info Input'!$F$10),0)</f>
        <v>0</v>
      </c>
      <c r="R378" s="32">
        <f>IFERROR(IF(StaffPayroll[[#This Row],[Annual Cost of Wage Increase included in Rate Adjustment]]=0,0,IF('Facility Info Input'!$F$11&lt;=0,0,P378*'Facility Info Input'!$F$11)),0)</f>
        <v>0</v>
      </c>
      <c r="S378" s="32">
        <f>IFERROR(IF(StaffPayroll[[#This Row],[Annual Cost of Wage Increase included in Rate Adjustment]]=0,0,IF('Facility Info Input'!$F$12&lt;=0,0,P378*'Facility Info Input'!$F$12)),0)</f>
        <v>0</v>
      </c>
      <c r="T378" s="32">
        <f t="shared" si="10"/>
        <v>0</v>
      </c>
      <c r="U378" s="33">
        <f t="shared" si="11"/>
        <v>0</v>
      </c>
    </row>
    <row r="379" spans="1:21">
      <c r="A379" s="76"/>
      <c r="B379" s="77"/>
      <c r="C379" s="81"/>
      <c r="D379" s="82"/>
      <c r="E379" s="82"/>
      <c r="F379" s="83"/>
      <c r="G379" s="84"/>
      <c r="H379" s="85"/>
      <c r="I379" s="71" t="e">
        <f>#REF!&amp;" "&amp;StaffPayroll[[#This Row],[Employee ID Number / Code]]</f>
        <v>#REF!</v>
      </c>
      <c r="J379" s="71" t="str">
        <f>_xlfn.IFNA(VLOOKUP(StaffPayroll[[#This Row],[Position / Title]],Lists!A:C,3,FALSE),"")</f>
        <v/>
      </c>
      <c r="K379" s="71">
        <f>StaffPayroll[[#This Row],[Payroll Period Ends Date (Minimum two months)]]-StaffPayroll[[#This Row],[Payroll Period Begins Date        (Must start after 6/1/2025)]]+1</f>
        <v>1</v>
      </c>
      <c r="L379" s="38">
        <f>IFERROR(IF(VLOOKUP(J379,'Facility Info Input'!$B$25:$D$34,3,FALSE)="",1,VLOOKUP(J379,'Facility Info Input'!$B$25:$D$34,3,FALSE)),0)</f>
        <v>0</v>
      </c>
      <c r="M379" s="22" t="str">
        <f>IF(StaffPayroll[[#This Row],[Employee ID Number / Code]]="","",IF(StaffPayroll[[#This Row],[Position / Title]]="","",VLOOKUP(StaffPayroll[[#This Row],[Position / Title]],Lists!A:C,2,FALSE)))</f>
        <v/>
      </c>
      <c r="N379" s="22">
        <f>IF(C379="",0,StaffPayroll[[#This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7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79" s="31">
        <f>IF(StaffPayroll[[#This Row],[Hourly WSB  Wage Minimum]]="",0,StaffPayroll[[#This Row],[Annual NF Wage Costs after WSB Minimum]]-StaffPayroll[[#This Row],[Annual NF Wage Costs before WSB Minimum]])</f>
        <v>0</v>
      </c>
      <c r="Q379" s="31">
        <f>IFERROR(IF(StaffPayroll[[#This Row],[Annual Cost of Wage Increase included in Rate Adjustment]]=0,0,P379*'Facility Info Input'!$F$10),0)</f>
        <v>0</v>
      </c>
      <c r="R379" s="32">
        <f>IFERROR(IF(StaffPayroll[[#This Row],[Annual Cost of Wage Increase included in Rate Adjustment]]=0,0,IF('Facility Info Input'!$F$11&lt;=0,0,P379*'Facility Info Input'!$F$11)),0)</f>
        <v>0</v>
      </c>
      <c r="S379" s="32">
        <f>IFERROR(IF(StaffPayroll[[#This Row],[Annual Cost of Wage Increase included in Rate Adjustment]]=0,0,IF('Facility Info Input'!$F$12&lt;=0,0,P379*'Facility Info Input'!$F$12)),0)</f>
        <v>0</v>
      </c>
      <c r="T379" s="32">
        <f t="shared" si="10"/>
        <v>0</v>
      </c>
      <c r="U379" s="33">
        <f t="shared" si="11"/>
        <v>0</v>
      </c>
    </row>
    <row r="380" spans="1:21">
      <c r="A380" s="76"/>
      <c r="B380" s="77"/>
      <c r="C380" s="81"/>
      <c r="D380" s="82"/>
      <c r="E380" s="82"/>
      <c r="F380" s="83"/>
      <c r="G380" s="84"/>
      <c r="H380" s="85"/>
      <c r="I380" s="71" t="e">
        <f>#REF!&amp;" "&amp;StaffPayroll[[#This Row],[Employee ID Number / Code]]</f>
        <v>#REF!</v>
      </c>
      <c r="J380" s="71" t="str">
        <f>_xlfn.IFNA(VLOOKUP(StaffPayroll[[#This Row],[Position / Title]],Lists!A:C,3,FALSE),"")</f>
        <v/>
      </c>
      <c r="K380" s="71">
        <f>StaffPayroll[[#This Row],[Payroll Period Ends Date (Minimum two months)]]-StaffPayroll[[#This Row],[Payroll Period Begins Date        (Must start after 6/1/2025)]]+1</f>
        <v>1</v>
      </c>
      <c r="L380" s="38">
        <f>IFERROR(IF(VLOOKUP(J380,'Facility Info Input'!$B$25:$D$34,3,FALSE)="",1,VLOOKUP(J380,'Facility Info Input'!$B$25:$D$34,3,FALSE)),0)</f>
        <v>0</v>
      </c>
      <c r="M380" s="22" t="str">
        <f>IF(StaffPayroll[[#This Row],[Employee ID Number / Code]]="","",IF(StaffPayroll[[#This Row],[Position / Title]]="","",VLOOKUP(StaffPayroll[[#This Row],[Position / Title]],Lists!A:C,2,FALSE)))</f>
        <v/>
      </c>
      <c r="N380" s="22">
        <f>IF(C380="",0,StaffPayroll[[#This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0" s="31">
        <f>IF(StaffPayroll[[#This Row],[Hourly WSB  Wage Minimum]]="",0,StaffPayroll[[#This Row],[Annual NF Wage Costs after WSB Minimum]]-StaffPayroll[[#This Row],[Annual NF Wage Costs before WSB Minimum]])</f>
        <v>0</v>
      </c>
      <c r="Q380" s="31">
        <f>IFERROR(IF(StaffPayroll[[#This Row],[Annual Cost of Wage Increase included in Rate Adjustment]]=0,0,P380*'Facility Info Input'!$F$10),0)</f>
        <v>0</v>
      </c>
      <c r="R380" s="32">
        <f>IFERROR(IF(StaffPayroll[[#This Row],[Annual Cost of Wage Increase included in Rate Adjustment]]=0,0,IF('Facility Info Input'!$F$11&lt;=0,0,P380*'Facility Info Input'!$F$11)),0)</f>
        <v>0</v>
      </c>
      <c r="S380" s="32">
        <f>IFERROR(IF(StaffPayroll[[#This Row],[Annual Cost of Wage Increase included in Rate Adjustment]]=0,0,IF('Facility Info Input'!$F$12&lt;=0,0,P380*'Facility Info Input'!$F$12)),0)</f>
        <v>0</v>
      </c>
      <c r="T380" s="32">
        <f t="shared" si="10"/>
        <v>0</v>
      </c>
      <c r="U380" s="33">
        <f t="shared" si="11"/>
        <v>0</v>
      </c>
    </row>
    <row r="381" spans="1:21">
      <c r="A381" s="76"/>
      <c r="B381" s="77"/>
      <c r="C381" s="81"/>
      <c r="D381" s="82"/>
      <c r="E381" s="82"/>
      <c r="F381" s="83"/>
      <c r="G381" s="84"/>
      <c r="H381" s="85"/>
      <c r="I381" s="71" t="e">
        <f>#REF!&amp;" "&amp;StaffPayroll[[#This Row],[Employee ID Number / Code]]</f>
        <v>#REF!</v>
      </c>
      <c r="J381" s="71" t="str">
        <f>_xlfn.IFNA(VLOOKUP(StaffPayroll[[#This Row],[Position / Title]],Lists!A:C,3,FALSE),"")</f>
        <v/>
      </c>
      <c r="K381" s="71">
        <f>StaffPayroll[[#This Row],[Payroll Period Ends Date (Minimum two months)]]-StaffPayroll[[#This Row],[Payroll Period Begins Date        (Must start after 6/1/2025)]]+1</f>
        <v>1</v>
      </c>
      <c r="L381" s="38">
        <f>IFERROR(IF(VLOOKUP(J381,'Facility Info Input'!$B$25:$D$34,3,FALSE)="",1,VLOOKUP(J381,'Facility Info Input'!$B$25:$D$34,3,FALSE)),0)</f>
        <v>0</v>
      </c>
      <c r="M381" s="22" t="str">
        <f>IF(StaffPayroll[[#This Row],[Employee ID Number / Code]]="","",IF(StaffPayroll[[#This Row],[Position / Title]]="","",VLOOKUP(StaffPayroll[[#This Row],[Position / Title]],Lists!A:C,2,FALSE)))</f>
        <v/>
      </c>
      <c r="N381" s="22">
        <f>IF(C381="",0,StaffPayroll[[#This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1" s="31">
        <f>IF(StaffPayroll[[#This Row],[Hourly WSB  Wage Minimum]]="",0,StaffPayroll[[#This Row],[Annual NF Wage Costs after WSB Minimum]]-StaffPayroll[[#This Row],[Annual NF Wage Costs before WSB Minimum]])</f>
        <v>0</v>
      </c>
      <c r="Q381" s="31">
        <f>IFERROR(IF(StaffPayroll[[#This Row],[Annual Cost of Wage Increase included in Rate Adjustment]]=0,0,P381*'Facility Info Input'!$F$10),0)</f>
        <v>0</v>
      </c>
      <c r="R381" s="32">
        <f>IFERROR(IF(StaffPayroll[[#This Row],[Annual Cost of Wage Increase included in Rate Adjustment]]=0,0,IF('Facility Info Input'!$F$11&lt;=0,0,P381*'Facility Info Input'!$F$11)),0)</f>
        <v>0</v>
      </c>
      <c r="S381" s="32">
        <f>IFERROR(IF(StaffPayroll[[#This Row],[Annual Cost of Wage Increase included in Rate Adjustment]]=0,0,IF('Facility Info Input'!$F$12&lt;=0,0,P381*'Facility Info Input'!$F$12)),0)</f>
        <v>0</v>
      </c>
      <c r="T381" s="32">
        <f t="shared" si="10"/>
        <v>0</v>
      </c>
      <c r="U381" s="33">
        <f t="shared" si="11"/>
        <v>0</v>
      </c>
    </row>
    <row r="382" spans="1:21">
      <c r="A382" s="76"/>
      <c r="B382" s="77"/>
      <c r="C382" s="81"/>
      <c r="D382" s="82"/>
      <c r="E382" s="82"/>
      <c r="F382" s="83"/>
      <c r="G382" s="84"/>
      <c r="H382" s="85"/>
      <c r="I382" s="71" t="e">
        <f>#REF!&amp;" "&amp;StaffPayroll[[#This Row],[Employee ID Number / Code]]</f>
        <v>#REF!</v>
      </c>
      <c r="J382" s="71" t="str">
        <f>_xlfn.IFNA(VLOOKUP(StaffPayroll[[#This Row],[Position / Title]],Lists!A:C,3,FALSE),"")</f>
        <v/>
      </c>
      <c r="K382" s="71">
        <f>StaffPayroll[[#This Row],[Payroll Period Ends Date (Minimum two months)]]-StaffPayroll[[#This Row],[Payroll Period Begins Date        (Must start after 6/1/2025)]]+1</f>
        <v>1</v>
      </c>
      <c r="L382" s="38">
        <f>IFERROR(IF(VLOOKUP(J382,'Facility Info Input'!$B$25:$D$34,3,FALSE)="",1,VLOOKUP(J382,'Facility Info Input'!$B$25:$D$34,3,FALSE)),0)</f>
        <v>0</v>
      </c>
      <c r="M382" s="22" t="str">
        <f>IF(StaffPayroll[[#This Row],[Employee ID Number / Code]]="","",IF(StaffPayroll[[#This Row],[Position / Title]]="","",VLOOKUP(StaffPayroll[[#This Row],[Position / Title]],Lists!A:C,2,FALSE)))</f>
        <v/>
      </c>
      <c r="N382" s="22">
        <f>IF(C382="",0,StaffPayroll[[#This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2" s="31">
        <f>IF(StaffPayroll[[#This Row],[Hourly WSB  Wage Minimum]]="",0,StaffPayroll[[#This Row],[Annual NF Wage Costs after WSB Minimum]]-StaffPayroll[[#This Row],[Annual NF Wage Costs before WSB Minimum]])</f>
        <v>0</v>
      </c>
      <c r="Q382" s="31">
        <f>IFERROR(IF(StaffPayroll[[#This Row],[Annual Cost of Wage Increase included in Rate Adjustment]]=0,0,P382*'Facility Info Input'!$F$10),0)</f>
        <v>0</v>
      </c>
      <c r="R382" s="32">
        <f>IFERROR(IF(StaffPayroll[[#This Row],[Annual Cost of Wage Increase included in Rate Adjustment]]=0,0,IF('Facility Info Input'!$F$11&lt;=0,0,P382*'Facility Info Input'!$F$11)),0)</f>
        <v>0</v>
      </c>
      <c r="S382" s="32">
        <f>IFERROR(IF(StaffPayroll[[#This Row],[Annual Cost of Wage Increase included in Rate Adjustment]]=0,0,IF('Facility Info Input'!$F$12&lt;=0,0,P382*'Facility Info Input'!$F$12)),0)</f>
        <v>0</v>
      </c>
      <c r="T382" s="32">
        <f t="shared" si="10"/>
        <v>0</v>
      </c>
      <c r="U382" s="33">
        <f t="shared" si="11"/>
        <v>0</v>
      </c>
    </row>
    <row r="383" spans="1:21">
      <c r="A383" s="76"/>
      <c r="B383" s="77"/>
      <c r="C383" s="81"/>
      <c r="D383" s="82"/>
      <c r="E383" s="82"/>
      <c r="F383" s="83"/>
      <c r="G383" s="84"/>
      <c r="H383" s="85"/>
      <c r="I383" s="71" t="e">
        <f>#REF!&amp;" "&amp;StaffPayroll[[#This Row],[Employee ID Number / Code]]</f>
        <v>#REF!</v>
      </c>
      <c r="J383" s="71" t="str">
        <f>_xlfn.IFNA(VLOOKUP(StaffPayroll[[#This Row],[Position / Title]],Lists!A:C,3,FALSE),"")</f>
        <v/>
      </c>
      <c r="K383" s="71">
        <f>StaffPayroll[[#This Row],[Payroll Period Ends Date (Minimum two months)]]-StaffPayroll[[#This Row],[Payroll Period Begins Date        (Must start after 6/1/2025)]]+1</f>
        <v>1</v>
      </c>
      <c r="L383" s="38">
        <f>IFERROR(IF(VLOOKUP(J383,'Facility Info Input'!$B$25:$D$34,3,FALSE)="",1,VLOOKUP(J383,'Facility Info Input'!$B$25:$D$34,3,FALSE)),0)</f>
        <v>0</v>
      </c>
      <c r="M383" s="22" t="str">
        <f>IF(StaffPayroll[[#This Row],[Employee ID Number / Code]]="","",IF(StaffPayroll[[#This Row],[Position / Title]]="","",VLOOKUP(StaffPayroll[[#This Row],[Position / Title]],Lists!A:C,2,FALSE)))</f>
        <v/>
      </c>
      <c r="N383" s="22">
        <f>IF(C383="",0,StaffPayroll[[#This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3" s="31">
        <f>IF(StaffPayroll[[#This Row],[Hourly WSB  Wage Minimum]]="",0,StaffPayroll[[#This Row],[Annual NF Wage Costs after WSB Minimum]]-StaffPayroll[[#This Row],[Annual NF Wage Costs before WSB Minimum]])</f>
        <v>0</v>
      </c>
      <c r="Q383" s="31">
        <f>IFERROR(IF(StaffPayroll[[#This Row],[Annual Cost of Wage Increase included in Rate Adjustment]]=0,0,P383*'Facility Info Input'!$F$10),0)</f>
        <v>0</v>
      </c>
      <c r="R383" s="32">
        <f>IFERROR(IF(StaffPayroll[[#This Row],[Annual Cost of Wage Increase included in Rate Adjustment]]=0,0,IF('Facility Info Input'!$F$11&lt;=0,0,P383*'Facility Info Input'!$F$11)),0)</f>
        <v>0</v>
      </c>
      <c r="S383" s="32">
        <f>IFERROR(IF(StaffPayroll[[#This Row],[Annual Cost of Wage Increase included in Rate Adjustment]]=0,0,IF('Facility Info Input'!$F$12&lt;=0,0,P383*'Facility Info Input'!$F$12)),0)</f>
        <v>0</v>
      </c>
      <c r="T383" s="32">
        <f t="shared" si="10"/>
        <v>0</v>
      </c>
      <c r="U383" s="33">
        <f t="shared" si="11"/>
        <v>0</v>
      </c>
    </row>
    <row r="384" spans="1:21">
      <c r="A384" s="76"/>
      <c r="B384" s="77"/>
      <c r="C384" s="81"/>
      <c r="D384" s="82"/>
      <c r="E384" s="82"/>
      <c r="F384" s="83"/>
      <c r="G384" s="84"/>
      <c r="H384" s="85"/>
      <c r="I384" s="71" t="e">
        <f>#REF!&amp;" "&amp;StaffPayroll[[#This Row],[Employee ID Number / Code]]</f>
        <v>#REF!</v>
      </c>
      <c r="J384" s="71" t="str">
        <f>_xlfn.IFNA(VLOOKUP(StaffPayroll[[#This Row],[Position / Title]],Lists!A:C,3,FALSE),"")</f>
        <v/>
      </c>
      <c r="K384" s="71">
        <f>StaffPayroll[[#This Row],[Payroll Period Ends Date (Minimum two months)]]-StaffPayroll[[#This Row],[Payroll Period Begins Date        (Must start after 6/1/2025)]]+1</f>
        <v>1</v>
      </c>
      <c r="L384" s="38">
        <f>IFERROR(IF(VLOOKUP(J384,'Facility Info Input'!$B$25:$D$34,3,FALSE)="",1,VLOOKUP(J384,'Facility Info Input'!$B$25:$D$34,3,FALSE)),0)</f>
        <v>0</v>
      </c>
      <c r="M384" s="22" t="str">
        <f>IF(StaffPayroll[[#This Row],[Employee ID Number / Code]]="","",IF(StaffPayroll[[#This Row],[Position / Title]]="","",VLOOKUP(StaffPayroll[[#This Row],[Position / Title]],Lists!A:C,2,FALSE)))</f>
        <v/>
      </c>
      <c r="N384" s="22">
        <f>IF(C384="",0,StaffPayroll[[#This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4" s="31">
        <f>IF(StaffPayroll[[#This Row],[Hourly WSB  Wage Minimum]]="",0,StaffPayroll[[#This Row],[Annual NF Wage Costs after WSB Minimum]]-StaffPayroll[[#This Row],[Annual NF Wage Costs before WSB Minimum]])</f>
        <v>0</v>
      </c>
      <c r="Q384" s="31">
        <f>IFERROR(IF(StaffPayroll[[#This Row],[Annual Cost of Wage Increase included in Rate Adjustment]]=0,0,P384*'Facility Info Input'!$F$10),0)</f>
        <v>0</v>
      </c>
      <c r="R384" s="32">
        <f>IFERROR(IF(StaffPayroll[[#This Row],[Annual Cost of Wage Increase included in Rate Adjustment]]=0,0,IF('Facility Info Input'!$F$11&lt;=0,0,P384*'Facility Info Input'!$F$11)),0)</f>
        <v>0</v>
      </c>
      <c r="S384" s="32">
        <f>IFERROR(IF(StaffPayroll[[#This Row],[Annual Cost of Wage Increase included in Rate Adjustment]]=0,0,IF('Facility Info Input'!$F$12&lt;=0,0,P384*'Facility Info Input'!$F$12)),0)</f>
        <v>0</v>
      </c>
      <c r="T384" s="32">
        <f t="shared" si="10"/>
        <v>0</v>
      </c>
      <c r="U384" s="33">
        <f t="shared" si="11"/>
        <v>0</v>
      </c>
    </row>
    <row r="385" spans="1:21">
      <c r="A385" s="76"/>
      <c r="B385" s="77"/>
      <c r="C385" s="81"/>
      <c r="D385" s="82"/>
      <c r="E385" s="82"/>
      <c r="F385" s="83"/>
      <c r="G385" s="84"/>
      <c r="H385" s="85"/>
      <c r="I385" s="71" t="e">
        <f>#REF!&amp;" "&amp;StaffPayroll[[#This Row],[Employee ID Number / Code]]</f>
        <v>#REF!</v>
      </c>
      <c r="J385" s="71" t="str">
        <f>_xlfn.IFNA(VLOOKUP(StaffPayroll[[#This Row],[Position / Title]],Lists!A:C,3,FALSE),"")</f>
        <v/>
      </c>
      <c r="K385" s="71">
        <f>StaffPayroll[[#This Row],[Payroll Period Ends Date (Minimum two months)]]-StaffPayroll[[#This Row],[Payroll Period Begins Date        (Must start after 6/1/2025)]]+1</f>
        <v>1</v>
      </c>
      <c r="L385" s="38">
        <f>IFERROR(IF(VLOOKUP(J385,'Facility Info Input'!$B$25:$D$34,3,FALSE)="",1,VLOOKUP(J385,'Facility Info Input'!$B$25:$D$34,3,FALSE)),0)</f>
        <v>0</v>
      </c>
      <c r="M385" s="22" t="str">
        <f>IF(StaffPayroll[[#This Row],[Employee ID Number / Code]]="","",IF(StaffPayroll[[#This Row],[Position / Title]]="","",VLOOKUP(StaffPayroll[[#This Row],[Position / Title]],Lists!A:C,2,FALSE)))</f>
        <v/>
      </c>
      <c r="N385" s="22">
        <f>IF(C385="",0,StaffPayroll[[#This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5" s="31">
        <f>IF(StaffPayroll[[#This Row],[Hourly WSB  Wage Minimum]]="",0,StaffPayroll[[#This Row],[Annual NF Wage Costs after WSB Minimum]]-StaffPayroll[[#This Row],[Annual NF Wage Costs before WSB Minimum]])</f>
        <v>0</v>
      </c>
      <c r="Q385" s="31">
        <f>IFERROR(IF(StaffPayroll[[#This Row],[Annual Cost of Wage Increase included in Rate Adjustment]]=0,0,P385*'Facility Info Input'!$F$10),0)</f>
        <v>0</v>
      </c>
      <c r="R385" s="32">
        <f>IFERROR(IF(StaffPayroll[[#This Row],[Annual Cost of Wage Increase included in Rate Adjustment]]=0,0,IF('Facility Info Input'!$F$11&lt;=0,0,P385*'Facility Info Input'!$F$11)),0)</f>
        <v>0</v>
      </c>
      <c r="S385" s="32">
        <f>IFERROR(IF(StaffPayroll[[#This Row],[Annual Cost of Wage Increase included in Rate Adjustment]]=0,0,IF('Facility Info Input'!$F$12&lt;=0,0,P385*'Facility Info Input'!$F$12)),0)</f>
        <v>0</v>
      </c>
      <c r="T385" s="32">
        <f t="shared" si="10"/>
        <v>0</v>
      </c>
      <c r="U385" s="33">
        <f t="shared" si="11"/>
        <v>0</v>
      </c>
    </row>
    <row r="386" spans="1:21">
      <c r="A386" s="76"/>
      <c r="B386" s="77"/>
      <c r="C386" s="81"/>
      <c r="D386" s="82"/>
      <c r="E386" s="82"/>
      <c r="F386" s="83"/>
      <c r="G386" s="84"/>
      <c r="H386" s="85"/>
      <c r="I386" s="71" t="e">
        <f>#REF!&amp;" "&amp;StaffPayroll[[#This Row],[Employee ID Number / Code]]</f>
        <v>#REF!</v>
      </c>
      <c r="J386" s="71" t="str">
        <f>_xlfn.IFNA(VLOOKUP(StaffPayroll[[#This Row],[Position / Title]],Lists!A:C,3,FALSE),"")</f>
        <v/>
      </c>
      <c r="K386" s="71">
        <f>StaffPayroll[[#This Row],[Payroll Period Ends Date (Minimum two months)]]-StaffPayroll[[#This Row],[Payroll Period Begins Date        (Must start after 6/1/2025)]]+1</f>
        <v>1</v>
      </c>
      <c r="L386" s="38">
        <f>IFERROR(IF(VLOOKUP(J386,'Facility Info Input'!$B$25:$D$34,3,FALSE)="",1,VLOOKUP(J386,'Facility Info Input'!$B$25:$D$34,3,FALSE)),0)</f>
        <v>0</v>
      </c>
      <c r="M386" s="22" t="str">
        <f>IF(StaffPayroll[[#This Row],[Employee ID Number / Code]]="","",IF(StaffPayroll[[#This Row],[Position / Title]]="","",VLOOKUP(StaffPayroll[[#This Row],[Position / Title]],Lists!A:C,2,FALSE)))</f>
        <v/>
      </c>
      <c r="N386" s="22">
        <f>IF(C386="",0,StaffPayroll[[#This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6" s="31">
        <f>IF(StaffPayroll[[#This Row],[Hourly WSB  Wage Minimum]]="",0,StaffPayroll[[#This Row],[Annual NF Wage Costs after WSB Minimum]]-StaffPayroll[[#This Row],[Annual NF Wage Costs before WSB Minimum]])</f>
        <v>0</v>
      </c>
      <c r="Q386" s="31">
        <f>IFERROR(IF(StaffPayroll[[#This Row],[Annual Cost of Wage Increase included in Rate Adjustment]]=0,0,P386*'Facility Info Input'!$F$10),0)</f>
        <v>0</v>
      </c>
      <c r="R386" s="32">
        <f>IFERROR(IF(StaffPayroll[[#This Row],[Annual Cost of Wage Increase included in Rate Adjustment]]=0,0,IF('Facility Info Input'!$F$11&lt;=0,0,P386*'Facility Info Input'!$F$11)),0)</f>
        <v>0</v>
      </c>
      <c r="S386" s="32">
        <f>IFERROR(IF(StaffPayroll[[#This Row],[Annual Cost of Wage Increase included in Rate Adjustment]]=0,0,IF('Facility Info Input'!$F$12&lt;=0,0,P386*'Facility Info Input'!$F$12)),0)</f>
        <v>0</v>
      </c>
      <c r="T386" s="32">
        <f t="shared" ref="T386:T400" si="12">IFERROR(IF(G386="Yes",H386*P386,0),0)</f>
        <v>0</v>
      </c>
      <c r="U386" s="33">
        <f t="shared" si="11"/>
        <v>0</v>
      </c>
    </row>
    <row r="387" spans="1:21">
      <c r="A387" s="76"/>
      <c r="B387" s="77"/>
      <c r="C387" s="81"/>
      <c r="D387" s="82"/>
      <c r="E387" s="82"/>
      <c r="F387" s="83"/>
      <c r="G387" s="84"/>
      <c r="H387" s="85"/>
      <c r="I387" s="71" t="e">
        <f>#REF!&amp;" "&amp;StaffPayroll[[#This Row],[Employee ID Number / Code]]</f>
        <v>#REF!</v>
      </c>
      <c r="J387" s="71" t="str">
        <f>_xlfn.IFNA(VLOOKUP(StaffPayroll[[#This Row],[Position / Title]],Lists!A:C,3,FALSE),"")</f>
        <v/>
      </c>
      <c r="K387" s="71">
        <f>StaffPayroll[[#This Row],[Payroll Period Ends Date (Minimum two months)]]-StaffPayroll[[#This Row],[Payroll Period Begins Date        (Must start after 6/1/2025)]]+1</f>
        <v>1</v>
      </c>
      <c r="L387" s="38">
        <f>IFERROR(IF(VLOOKUP(J387,'Facility Info Input'!$B$25:$D$34,3,FALSE)="",1,VLOOKUP(J387,'Facility Info Input'!$B$25:$D$34,3,FALSE)),0)</f>
        <v>0</v>
      </c>
      <c r="M387" s="22" t="str">
        <f>IF(StaffPayroll[[#This Row],[Employee ID Number / Code]]="","",IF(StaffPayroll[[#This Row],[Position / Title]]="","",VLOOKUP(StaffPayroll[[#This Row],[Position / Title]],Lists!A:C,2,FALSE)))</f>
        <v/>
      </c>
      <c r="N387" s="22">
        <f>IF(C387="",0,StaffPayroll[[#This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7" s="31">
        <f>IF(StaffPayroll[[#This Row],[Hourly WSB  Wage Minimum]]="",0,StaffPayroll[[#This Row],[Annual NF Wage Costs after WSB Minimum]]-StaffPayroll[[#This Row],[Annual NF Wage Costs before WSB Minimum]])</f>
        <v>0</v>
      </c>
      <c r="Q387" s="31">
        <f>IFERROR(IF(StaffPayroll[[#This Row],[Annual Cost of Wage Increase included in Rate Adjustment]]=0,0,P387*'Facility Info Input'!$F$10),0)</f>
        <v>0</v>
      </c>
      <c r="R387" s="32">
        <f>IFERROR(IF(StaffPayroll[[#This Row],[Annual Cost of Wage Increase included in Rate Adjustment]]=0,0,IF('Facility Info Input'!$F$11&lt;=0,0,P387*'Facility Info Input'!$F$11)),0)</f>
        <v>0</v>
      </c>
      <c r="S387" s="32">
        <f>IFERROR(IF(StaffPayroll[[#This Row],[Annual Cost of Wage Increase included in Rate Adjustment]]=0,0,IF('Facility Info Input'!$F$12&lt;=0,0,P387*'Facility Info Input'!$F$12)),0)</f>
        <v>0</v>
      </c>
      <c r="T387" s="32">
        <f t="shared" si="12"/>
        <v>0</v>
      </c>
      <c r="U387" s="33">
        <f t="shared" ref="U387:U400" si="13">IFERROR(SUM(P387:T387),0)</f>
        <v>0</v>
      </c>
    </row>
    <row r="388" spans="1:21">
      <c r="A388" s="76"/>
      <c r="B388" s="77"/>
      <c r="C388" s="81"/>
      <c r="D388" s="82"/>
      <c r="E388" s="82"/>
      <c r="F388" s="83"/>
      <c r="G388" s="84"/>
      <c r="H388" s="85"/>
      <c r="I388" s="71" t="e">
        <f>#REF!&amp;" "&amp;StaffPayroll[[#This Row],[Employee ID Number / Code]]</f>
        <v>#REF!</v>
      </c>
      <c r="J388" s="71" t="str">
        <f>_xlfn.IFNA(VLOOKUP(StaffPayroll[[#This Row],[Position / Title]],Lists!A:C,3,FALSE),"")</f>
        <v/>
      </c>
      <c r="K388" s="71">
        <f>StaffPayroll[[#This Row],[Payroll Period Ends Date (Minimum two months)]]-StaffPayroll[[#This Row],[Payroll Period Begins Date        (Must start after 6/1/2025)]]+1</f>
        <v>1</v>
      </c>
      <c r="L388" s="38">
        <f>IFERROR(IF(VLOOKUP(J388,'Facility Info Input'!$B$25:$D$34,3,FALSE)="",1,VLOOKUP(J388,'Facility Info Input'!$B$25:$D$34,3,FALSE)),0)</f>
        <v>0</v>
      </c>
      <c r="M388" s="22" t="str">
        <f>IF(StaffPayroll[[#This Row],[Employee ID Number / Code]]="","",IF(StaffPayroll[[#This Row],[Position / Title]]="","",VLOOKUP(StaffPayroll[[#This Row],[Position / Title]],Lists!A:C,2,FALSE)))</f>
        <v/>
      </c>
      <c r="N388" s="22">
        <f>IF(C388="",0,StaffPayroll[[#This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8" s="31">
        <f>IF(StaffPayroll[[#This Row],[Hourly WSB  Wage Minimum]]="",0,StaffPayroll[[#This Row],[Annual NF Wage Costs after WSB Minimum]]-StaffPayroll[[#This Row],[Annual NF Wage Costs before WSB Minimum]])</f>
        <v>0</v>
      </c>
      <c r="Q388" s="31">
        <f>IFERROR(IF(StaffPayroll[[#This Row],[Annual Cost of Wage Increase included in Rate Adjustment]]=0,0,P388*'Facility Info Input'!$F$10),0)</f>
        <v>0</v>
      </c>
      <c r="R388" s="32">
        <f>IFERROR(IF(StaffPayroll[[#This Row],[Annual Cost of Wage Increase included in Rate Adjustment]]=0,0,IF('Facility Info Input'!$F$11&lt;=0,0,P388*'Facility Info Input'!$F$11)),0)</f>
        <v>0</v>
      </c>
      <c r="S388" s="32">
        <f>IFERROR(IF(StaffPayroll[[#This Row],[Annual Cost of Wage Increase included in Rate Adjustment]]=0,0,IF('Facility Info Input'!$F$12&lt;=0,0,P388*'Facility Info Input'!$F$12)),0)</f>
        <v>0</v>
      </c>
      <c r="T388" s="32">
        <f t="shared" si="12"/>
        <v>0</v>
      </c>
      <c r="U388" s="33">
        <f t="shared" si="13"/>
        <v>0</v>
      </c>
    </row>
    <row r="389" spans="1:21">
      <c r="A389" s="76"/>
      <c r="B389" s="77"/>
      <c r="C389" s="81"/>
      <c r="D389" s="82"/>
      <c r="E389" s="82"/>
      <c r="F389" s="83"/>
      <c r="G389" s="84"/>
      <c r="H389" s="85"/>
      <c r="I389" s="71" t="e">
        <f>#REF!&amp;" "&amp;StaffPayroll[[#This Row],[Employee ID Number / Code]]</f>
        <v>#REF!</v>
      </c>
      <c r="J389" s="71" t="str">
        <f>_xlfn.IFNA(VLOOKUP(StaffPayroll[[#This Row],[Position / Title]],Lists!A:C,3,FALSE),"")</f>
        <v/>
      </c>
      <c r="K389" s="71">
        <f>StaffPayroll[[#This Row],[Payroll Period Ends Date (Minimum two months)]]-StaffPayroll[[#This Row],[Payroll Period Begins Date        (Must start after 6/1/2025)]]+1</f>
        <v>1</v>
      </c>
      <c r="L389" s="38">
        <f>IFERROR(IF(VLOOKUP(J389,'Facility Info Input'!$B$25:$D$34,3,FALSE)="",1,VLOOKUP(J389,'Facility Info Input'!$B$25:$D$34,3,FALSE)),0)</f>
        <v>0</v>
      </c>
      <c r="M389" s="22" t="str">
        <f>IF(StaffPayroll[[#This Row],[Employee ID Number / Code]]="","",IF(StaffPayroll[[#This Row],[Position / Title]]="","",VLOOKUP(StaffPayroll[[#This Row],[Position / Title]],Lists!A:C,2,FALSE)))</f>
        <v/>
      </c>
      <c r="N389" s="22">
        <f>IF(C389="",0,StaffPayroll[[#This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8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89" s="31">
        <f>IF(StaffPayroll[[#This Row],[Hourly WSB  Wage Minimum]]="",0,StaffPayroll[[#This Row],[Annual NF Wage Costs after WSB Minimum]]-StaffPayroll[[#This Row],[Annual NF Wage Costs before WSB Minimum]])</f>
        <v>0</v>
      </c>
      <c r="Q389" s="31">
        <f>IFERROR(IF(StaffPayroll[[#This Row],[Annual Cost of Wage Increase included in Rate Adjustment]]=0,0,P389*'Facility Info Input'!$F$10),0)</f>
        <v>0</v>
      </c>
      <c r="R389" s="32">
        <f>IFERROR(IF(StaffPayroll[[#This Row],[Annual Cost of Wage Increase included in Rate Adjustment]]=0,0,IF('Facility Info Input'!$F$11&lt;=0,0,P389*'Facility Info Input'!$F$11)),0)</f>
        <v>0</v>
      </c>
      <c r="S389" s="32">
        <f>IFERROR(IF(StaffPayroll[[#This Row],[Annual Cost of Wage Increase included in Rate Adjustment]]=0,0,IF('Facility Info Input'!$F$12&lt;=0,0,P389*'Facility Info Input'!$F$12)),0)</f>
        <v>0</v>
      </c>
      <c r="T389" s="32">
        <f t="shared" si="12"/>
        <v>0</v>
      </c>
      <c r="U389" s="33">
        <f t="shared" si="13"/>
        <v>0</v>
      </c>
    </row>
    <row r="390" spans="1:21">
      <c r="A390" s="76"/>
      <c r="B390" s="77"/>
      <c r="C390" s="81"/>
      <c r="D390" s="82"/>
      <c r="E390" s="82"/>
      <c r="F390" s="83"/>
      <c r="G390" s="84"/>
      <c r="H390" s="85"/>
      <c r="I390" s="71" t="e">
        <f>#REF!&amp;" "&amp;StaffPayroll[[#This Row],[Employee ID Number / Code]]</f>
        <v>#REF!</v>
      </c>
      <c r="J390" s="71" t="str">
        <f>_xlfn.IFNA(VLOOKUP(StaffPayroll[[#This Row],[Position / Title]],Lists!A:C,3,FALSE),"")</f>
        <v/>
      </c>
      <c r="K390" s="71">
        <f>StaffPayroll[[#This Row],[Payroll Period Ends Date (Minimum two months)]]-StaffPayroll[[#This Row],[Payroll Period Begins Date        (Must start after 6/1/2025)]]+1</f>
        <v>1</v>
      </c>
      <c r="L390" s="38">
        <f>IFERROR(IF(VLOOKUP(J390,'Facility Info Input'!$B$25:$D$34,3,FALSE)="",1,VLOOKUP(J390,'Facility Info Input'!$B$25:$D$34,3,FALSE)),0)</f>
        <v>0</v>
      </c>
      <c r="M390" s="22" t="str">
        <f>IF(StaffPayroll[[#This Row],[Employee ID Number / Code]]="","",IF(StaffPayroll[[#This Row],[Position / Title]]="","",VLOOKUP(StaffPayroll[[#This Row],[Position / Title]],Lists!A:C,2,FALSE)))</f>
        <v/>
      </c>
      <c r="N390" s="22">
        <f>IF(C390="",0,StaffPayroll[[#This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0" s="31">
        <f>IF(StaffPayroll[[#This Row],[Hourly WSB  Wage Minimum]]="",0,StaffPayroll[[#This Row],[Annual NF Wage Costs after WSB Minimum]]-StaffPayroll[[#This Row],[Annual NF Wage Costs before WSB Minimum]])</f>
        <v>0</v>
      </c>
      <c r="Q390" s="31">
        <f>IFERROR(IF(StaffPayroll[[#This Row],[Annual Cost of Wage Increase included in Rate Adjustment]]=0,0,P390*'Facility Info Input'!$F$10),0)</f>
        <v>0</v>
      </c>
      <c r="R390" s="32">
        <f>IFERROR(IF(StaffPayroll[[#This Row],[Annual Cost of Wage Increase included in Rate Adjustment]]=0,0,IF('Facility Info Input'!$F$11&lt;=0,0,P390*'Facility Info Input'!$F$11)),0)</f>
        <v>0</v>
      </c>
      <c r="S390" s="32">
        <f>IFERROR(IF(StaffPayroll[[#This Row],[Annual Cost of Wage Increase included in Rate Adjustment]]=0,0,IF('Facility Info Input'!$F$12&lt;=0,0,P390*'Facility Info Input'!$F$12)),0)</f>
        <v>0</v>
      </c>
      <c r="T390" s="32">
        <f t="shared" si="12"/>
        <v>0</v>
      </c>
      <c r="U390" s="33">
        <f t="shared" si="13"/>
        <v>0</v>
      </c>
    </row>
    <row r="391" spans="1:21">
      <c r="A391" s="76"/>
      <c r="B391" s="77"/>
      <c r="C391" s="81"/>
      <c r="D391" s="82"/>
      <c r="E391" s="82"/>
      <c r="F391" s="83"/>
      <c r="G391" s="84"/>
      <c r="H391" s="85"/>
      <c r="I391" s="71" t="e">
        <f>#REF!&amp;" "&amp;StaffPayroll[[#This Row],[Employee ID Number / Code]]</f>
        <v>#REF!</v>
      </c>
      <c r="J391" s="71" t="str">
        <f>_xlfn.IFNA(VLOOKUP(StaffPayroll[[#This Row],[Position / Title]],Lists!A:C,3,FALSE),"")</f>
        <v/>
      </c>
      <c r="K391" s="71">
        <f>StaffPayroll[[#This Row],[Payroll Period Ends Date (Minimum two months)]]-StaffPayroll[[#This Row],[Payroll Period Begins Date        (Must start after 6/1/2025)]]+1</f>
        <v>1</v>
      </c>
      <c r="L391" s="38">
        <f>IFERROR(IF(VLOOKUP(J391,'Facility Info Input'!$B$25:$D$34,3,FALSE)="",1,VLOOKUP(J391,'Facility Info Input'!$B$25:$D$34,3,FALSE)),0)</f>
        <v>0</v>
      </c>
      <c r="M391" s="22" t="str">
        <f>IF(StaffPayroll[[#This Row],[Employee ID Number / Code]]="","",IF(StaffPayroll[[#This Row],[Position / Title]]="","",VLOOKUP(StaffPayroll[[#This Row],[Position / Title]],Lists!A:C,2,FALSE)))</f>
        <v/>
      </c>
      <c r="N391" s="22">
        <f>IF(C391="",0,StaffPayroll[[#This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1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1" s="31">
        <f>IF(StaffPayroll[[#This Row],[Hourly WSB  Wage Minimum]]="",0,StaffPayroll[[#This Row],[Annual NF Wage Costs after WSB Minimum]]-StaffPayroll[[#This Row],[Annual NF Wage Costs before WSB Minimum]])</f>
        <v>0</v>
      </c>
      <c r="Q391" s="31">
        <f>IFERROR(IF(StaffPayroll[[#This Row],[Annual Cost of Wage Increase included in Rate Adjustment]]=0,0,P391*'Facility Info Input'!$F$10),0)</f>
        <v>0</v>
      </c>
      <c r="R391" s="32">
        <f>IFERROR(IF(StaffPayroll[[#This Row],[Annual Cost of Wage Increase included in Rate Adjustment]]=0,0,IF('Facility Info Input'!$F$11&lt;=0,0,P391*'Facility Info Input'!$F$11)),0)</f>
        <v>0</v>
      </c>
      <c r="S391" s="32">
        <f>IFERROR(IF(StaffPayroll[[#This Row],[Annual Cost of Wage Increase included in Rate Adjustment]]=0,0,IF('Facility Info Input'!$F$12&lt;=0,0,P391*'Facility Info Input'!$F$12)),0)</f>
        <v>0</v>
      </c>
      <c r="T391" s="32">
        <f t="shared" si="12"/>
        <v>0</v>
      </c>
      <c r="U391" s="33">
        <f t="shared" si="13"/>
        <v>0</v>
      </c>
    </row>
    <row r="392" spans="1:21">
      <c r="A392" s="76"/>
      <c r="B392" s="77"/>
      <c r="C392" s="81"/>
      <c r="D392" s="82"/>
      <c r="E392" s="82"/>
      <c r="F392" s="83"/>
      <c r="G392" s="84"/>
      <c r="H392" s="85"/>
      <c r="I392" s="71" t="e">
        <f>#REF!&amp;" "&amp;StaffPayroll[[#This Row],[Employee ID Number / Code]]</f>
        <v>#REF!</v>
      </c>
      <c r="J392" s="71" t="str">
        <f>_xlfn.IFNA(VLOOKUP(StaffPayroll[[#This Row],[Position / Title]],Lists!A:C,3,FALSE),"")</f>
        <v/>
      </c>
      <c r="K392" s="71">
        <f>StaffPayroll[[#This Row],[Payroll Period Ends Date (Minimum two months)]]-StaffPayroll[[#This Row],[Payroll Period Begins Date        (Must start after 6/1/2025)]]+1</f>
        <v>1</v>
      </c>
      <c r="L392" s="38">
        <f>IFERROR(IF(VLOOKUP(J392,'Facility Info Input'!$B$25:$D$34,3,FALSE)="",1,VLOOKUP(J392,'Facility Info Input'!$B$25:$D$34,3,FALSE)),0)</f>
        <v>0</v>
      </c>
      <c r="M392" s="22" t="str">
        <f>IF(StaffPayroll[[#This Row],[Employee ID Number / Code]]="","",IF(StaffPayroll[[#This Row],[Position / Title]]="","",VLOOKUP(StaffPayroll[[#This Row],[Position / Title]],Lists!A:C,2,FALSE)))</f>
        <v/>
      </c>
      <c r="N392" s="22">
        <f>IF(C392="",0,StaffPayroll[[#This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2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2" s="31">
        <f>IF(StaffPayroll[[#This Row],[Hourly WSB  Wage Minimum]]="",0,StaffPayroll[[#This Row],[Annual NF Wage Costs after WSB Minimum]]-StaffPayroll[[#This Row],[Annual NF Wage Costs before WSB Minimum]])</f>
        <v>0</v>
      </c>
      <c r="Q392" s="31">
        <f>IFERROR(IF(StaffPayroll[[#This Row],[Annual Cost of Wage Increase included in Rate Adjustment]]=0,0,P392*'Facility Info Input'!$F$10),0)</f>
        <v>0</v>
      </c>
      <c r="R392" s="32">
        <f>IFERROR(IF(StaffPayroll[[#This Row],[Annual Cost of Wage Increase included in Rate Adjustment]]=0,0,IF('Facility Info Input'!$F$11&lt;=0,0,P392*'Facility Info Input'!$F$11)),0)</f>
        <v>0</v>
      </c>
      <c r="S392" s="32">
        <f>IFERROR(IF(StaffPayroll[[#This Row],[Annual Cost of Wage Increase included in Rate Adjustment]]=0,0,IF('Facility Info Input'!$F$12&lt;=0,0,P392*'Facility Info Input'!$F$12)),0)</f>
        <v>0</v>
      </c>
      <c r="T392" s="32">
        <f t="shared" si="12"/>
        <v>0</v>
      </c>
      <c r="U392" s="33">
        <f t="shared" si="13"/>
        <v>0</v>
      </c>
    </row>
    <row r="393" spans="1:21">
      <c r="A393" s="76"/>
      <c r="B393" s="77"/>
      <c r="C393" s="81"/>
      <c r="D393" s="82"/>
      <c r="E393" s="82"/>
      <c r="F393" s="83"/>
      <c r="G393" s="84"/>
      <c r="H393" s="85"/>
      <c r="I393" s="71" t="e">
        <f>#REF!&amp;" "&amp;StaffPayroll[[#This Row],[Employee ID Number / Code]]</f>
        <v>#REF!</v>
      </c>
      <c r="J393" s="71" t="str">
        <f>_xlfn.IFNA(VLOOKUP(StaffPayroll[[#This Row],[Position / Title]],Lists!A:C,3,FALSE),"")</f>
        <v/>
      </c>
      <c r="K393" s="71">
        <f>StaffPayroll[[#This Row],[Payroll Period Ends Date (Minimum two months)]]-StaffPayroll[[#This Row],[Payroll Period Begins Date        (Must start after 6/1/2025)]]+1</f>
        <v>1</v>
      </c>
      <c r="L393" s="38">
        <f>IFERROR(IF(VLOOKUP(J393,'Facility Info Input'!$B$25:$D$34,3,FALSE)="",1,VLOOKUP(J393,'Facility Info Input'!$B$25:$D$34,3,FALSE)),0)</f>
        <v>0</v>
      </c>
      <c r="M393" s="22" t="str">
        <f>IF(StaffPayroll[[#This Row],[Employee ID Number / Code]]="","",IF(StaffPayroll[[#This Row],[Position / Title]]="","",VLOOKUP(StaffPayroll[[#This Row],[Position / Title]],Lists!A:C,2,FALSE)))</f>
        <v/>
      </c>
      <c r="N393" s="22">
        <f>IF(C393="",0,StaffPayroll[[#This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3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3" s="31">
        <f>IF(StaffPayroll[[#This Row],[Hourly WSB  Wage Minimum]]="",0,StaffPayroll[[#This Row],[Annual NF Wage Costs after WSB Minimum]]-StaffPayroll[[#This Row],[Annual NF Wage Costs before WSB Minimum]])</f>
        <v>0</v>
      </c>
      <c r="Q393" s="31">
        <f>IFERROR(IF(StaffPayroll[[#This Row],[Annual Cost of Wage Increase included in Rate Adjustment]]=0,0,P393*'Facility Info Input'!$F$10),0)</f>
        <v>0</v>
      </c>
      <c r="R393" s="32">
        <f>IFERROR(IF(StaffPayroll[[#This Row],[Annual Cost of Wage Increase included in Rate Adjustment]]=0,0,IF('Facility Info Input'!$F$11&lt;=0,0,P393*'Facility Info Input'!$F$11)),0)</f>
        <v>0</v>
      </c>
      <c r="S393" s="32">
        <f>IFERROR(IF(StaffPayroll[[#This Row],[Annual Cost of Wage Increase included in Rate Adjustment]]=0,0,IF('Facility Info Input'!$F$12&lt;=0,0,P393*'Facility Info Input'!$F$12)),0)</f>
        <v>0</v>
      </c>
      <c r="T393" s="32">
        <f t="shared" si="12"/>
        <v>0</v>
      </c>
      <c r="U393" s="33">
        <f t="shared" si="13"/>
        <v>0</v>
      </c>
    </row>
    <row r="394" spans="1:21">
      <c r="A394" s="76"/>
      <c r="B394" s="77"/>
      <c r="C394" s="81"/>
      <c r="D394" s="82"/>
      <c r="E394" s="82"/>
      <c r="F394" s="83"/>
      <c r="G394" s="84"/>
      <c r="H394" s="85"/>
      <c r="I394" s="71" t="e">
        <f>#REF!&amp;" "&amp;StaffPayroll[[#This Row],[Employee ID Number / Code]]</f>
        <v>#REF!</v>
      </c>
      <c r="J394" s="71" t="str">
        <f>_xlfn.IFNA(VLOOKUP(StaffPayroll[[#This Row],[Position / Title]],Lists!A:C,3,FALSE),"")</f>
        <v/>
      </c>
      <c r="K394" s="71">
        <f>StaffPayroll[[#This Row],[Payroll Period Ends Date (Minimum two months)]]-StaffPayroll[[#This Row],[Payroll Period Begins Date        (Must start after 6/1/2025)]]+1</f>
        <v>1</v>
      </c>
      <c r="L394" s="38">
        <f>IFERROR(IF(VLOOKUP(J394,'Facility Info Input'!$B$25:$D$34,3,FALSE)="",1,VLOOKUP(J394,'Facility Info Input'!$B$25:$D$34,3,FALSE)),0)</f>
        <v>0</v>
      </c>
      <c r="M394" s="22" t="str">
        <f>IF(StaffPayroll[[#This Row],[Employee ID Number / Code]]="","",IF(StaffPayroll[[#This Row],[Position / Title]]="","",VLOOKUP(StaffPayroll[[#This Row],[Position / Title]],Lists!A:C,2,FALSE)))</f>
        <v/>
      </c>
      <c r="N394" s="22">
        <f>IF(C394="",0,StaffPayroll[[#This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4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4" s="31">
        <f>IF(StaffPayroll[[#This Row],[Hourly WSB  Wage Minimum]]="",0,StaffPayroll[[#This Row],[Annual NF Wage Costs after WSB Minimum]]-StaffPayroll[[#This Row],[Annual NF Wage Costs before WSB Minimum]])</f>
        <v>0</v>
      </c>
      <c r="Q394" s="31">
        <f>IFERROR(IF(StaffPayroll[[#This Row],[Annual Cost of Wage Increase included in Rate Adjustment]]=0,0,P394*'Facility Info Input'!$F$10),0)</f>
        <v>0</v>
      </c>
      <c r="R394" s="32">
        <f>IFERROR(IF(StaffPayroll[[#This Row],[Annual Cost of Wage Increase included in Rate Adjustment]]=0,0,IF('Facility Info Input'!$F$11&lt;=0,0,P394*'Facility Info Input'!$F$11)),0)</f>
        <v>0</v>
      </c>
      <c r="S394" s="32">
        <f>IFERROR(IF(StaffPayroll[[#This Row],[Annual Cost of Wage Increase included in Rate Adjustment]]=0,0,IF('Facility Info Input'!$F$12&lt;=0,0,P394*'Facility Info Input'!$F$12)),0)</f>
        <v>0</v>
      </c>
      <c r="T394" s="32">
        <f t="shared" si="12"/>
        <v>0</v>
      </c>
      <c r="U394" s="33">
        <f t="shared" si="13"/>
        <v>0</v>
      </c>
    </row>
    <row r="395" spans="1:21">
      <c r="A395" s="76"/>
      <c r="B395" s="77"/>
      <c r="C395" s="81"/>
      <c r="D395" s="82"/>
      <c r="E395" s="82"/>
      <c r="F395" s="83"/>
      <c r="G395" s="84"/>
      <c r="H395" s="85"/>
      <c r="I395" s="71" t="e">
        <f>#REF!&amp;" "&amp;StaffPayroll[[#This Row],[Employee ID Number / Code]]</f>
        <v>#REF!</v>
      </c>
      <c r="J395" s="71" t="str">
        <f>_xlfn.IFNA(VLOOKUP(StaffPayroll[[#This Row],[Position / Title]],Lists!A:C,3,FALSE),"")</f>
        <v/>
      </c>
      <c r="K395" s="71">
        <f>StaffPayroll[[#This Row],[Payroll Period Ends Date (Minimum two months)]]-StaffPayroll[[#This Row],[Payroll Period Begins Date        (Must start after 6/1/2025)]]+1</f>
        <v>1</v>
      </c>
      <c r="L395" s="38">
        <f>IFERROR(IF(VLOOKUP(J395,'Facility Info Input'!$B$25:$D$34,3,FALSE)="",1,VLOOKUP(J395,'Facility Info Input'!$B$25:$D$34,3,FALSE)),0)</f>
        <v>0</v>
      </c>
      <c r="M395" s="22" t="str">
        <f>IF(StaffPayroll[[#This Row],[Employee ID Number / Code]]="","",IF(StaffPayroll[[#This Row],[Position / Title]]="","",VLOOKUP(StaffPayroll[[#This Row],[Position / Title]],Lists!A:C,2,FALSE)))</f>
        <v/>
      </c>
      <c r="N395" s="22">
        <f>IF(C395="",0,StaffPayroll[[#This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5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5" s="31">
        <f>IF(StaffPayroll[[#This Row],[Hourly WSB  Wage Minimum]]="",0,StaffPayroll[[#This Row],[Annual NF Wage Costs after WSB Minimum]]-StaffPayroll[[#This Row],[Annual NF Wage Costs before WSB Minimum]])</f>
        <v>0</v>
      </c>
      <c r="Q395" s="31">
        <f>IFERROR(IF(StaffPayroll[[#This Row],[Annual Cost of Wage Increase included in Rate Adjustment]]=0,0,P395*'Facility Info Input'!$F$10),0)</f>
        <v>0</v>
      </c>
      <c r="R395" s="32">
        <f>IFERROR(IF(StaffPayroll[[#This Row],[Annual Cost of Wage Increase included in Rate Adjustment]]=0,0,IF('Facility Info Input'!$F$11&lt;=0,0,P395*'Facility Info Input'!$F$11)),0)</f>
        <v>0</v>
      </c>
      <c r="S395" s="32">
        <f>IFERROR(IF(StaffPayroll[[#This Row],[Annual Cost of Wage Increase included in Rate Adjustment]]=0,0,IF('Facility Info Input'!$F$12&lt;=0,0,P395*'Facility Info Input'!$F$12)),0)</f>
        <v>0</v>
      </c>
      <c r="T395" s="32">
        <f t="shared" si="12"/>
        <v>0</v>
      </c>
      <c r="U395" s="33">
        <f t="shared" si="13"/>
        <v>0</v>
      </c>
    </row>
    <row r="396" spans="1:21" s="15" customFormat="1">
      <c r="A396" s="76"/>
      <c r="B396" s="77"/>
      <c r="C396" s="81"/>
      <c r="D396" s="82"/>
      <c r="E396" s="82"/>
      <c r="F396" s="83"/>
      <c r="G396" s="84"/>
      <c r="H396" s="85"/>
      <c r="I396" s="71" t="e">
        <f>#REF!&amp;" "&amp;StaffPayroll[[#This Row],[Employee ID Number / Code]]</f>
        <v>#REF!</v>
      </c>
      <c r="J396" s="71" t="str">
        <f>_xlfn.IFNA(VLOOKUP(StaffPayroll[[#This Row],[Position / Title]],Lists!A:C,3,FALSE),"")</f>
        <v/>
      </c>
      <c r="K396" s="71">
        <f>StaffPayroll[[#This Row],[Payroll Period Ends Date (Minimum two months)]]-StaffPayroll[[#This Row],[Payroll Period Begins Date        (Must start after 6/1/2025)]]+1</f>
        <v>1</v>
      </c>
      <c r="L396" s="38">
        <f>IFERROR(IF(VLOOKUP(J396,'Facility Info Input'!$B$25:$D$34,3,FALSE)="",1,VLOOKUP(J396,'Facility Info Input'!$B$25:$D$34,3,FALSE)),0)</f>
        <v>0</v>
      </c>
      <c r="M396" s="22" t="str">
        <f>IF(StaffPayroll[[#This Row],[Employee ID Number / Code]]="","",IF(StaffPayroll[[#This Row],[Position / Title]]="","",VLOOKUP(StaffPayroll[[#This Row],[Position / Title]],Lists!A:C,2,FALSE)))</f>
        <v/>
      </c>
      <c r="N396" s="22">
        <f>IF(C396="",0,StaffPayroll[[#This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6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6" s="31">
        <f>IF(StaffPayroll[[#This Row],[Hourly WSB  Wage Minimum]]="",0,StaffPayroll[[#This Row],[Annual NF Wage Costs after WSB Minimum]]-StaffPayroll[[#This Row],[Annual NF Wage Costs before WSB Minimum]])</f>
        <v>0</v>
      </c>
      <c r="Q396" s="31">
        <f>IFERROR(IF(StaffPayroll[[#This Row],[Annual Cost of Wage Increase included in Rate Adjustment]]=0,0,P396*'Facility Info Input'!$F$10),0)</f>
        <v>0</v>
      </c>
      <c r="R396" s="32">
        <f>IFERROR(IF(StaffPayroll[[#This Row],[Annual Cost of Wage Increase included in Rate Adjustment]]=0,0,IF('Facility Info Input'!$F$11&lt;=0,0,P396*'Facility Info Input'!$F$11)),0)</f>
        <v>0</v>
      </c>
      <c r="S396" s="32">
        <f>IFERROR(IF(StaffPayroll[[#This Row],[Annual Cost of Wage Increase included in Rate Adjustment]]=0,0,IF('Facility Info Input'!$F$12&lt;=0,0,P396*'Facility Info Input'!$F$12)),0)</f>
        <v>0</v>
      </c>
      <c r="T396" s="32">
        <f t="shared" si="12"/>
        <v>0</v>
      </c>
      <c r="U396" s="33">
        <f t="shared" si="13"/>
        <v>0</v>
      </c>
    </row>
    <row r="397" spans="1:21" s="15" customFormat="1">
      <c r="A397" s="76"/>
      <c r="B397" s="77"/>
      <c r="C397" s="81"/>
      <c r="D397" s="82"/>
      <c r="E397" s="82"/>
      <c r="F397" s="83"/>
      <c r="G397" s="84"/>
      <c r="H397" s="85"/>
      <c r="I397" s="71" t="e">
        <f>#REF!&amp;" "&amp;StaffPayroll[[#This Row],[Employee ID Number / Code]]</f>
        <v>#REF!</v>
      </c>
      <c r="J397" s="71" t="str">
        <f>_xlfn.IFNA(VLOOKUP(StaffPayroll[[#This Row],[Position / Title]],Lists!A:C,3,FALSE),"")</f>
        <v/>
      </c>
      <c r="K397" s="71">
        <f>StaffPayroll[[#This Row],[Payroll Period Ends Date (Minimum two months)]]-StaffPayroll[[#This Row],[Payroll Period Begins Date        (Must start after 6/1/2025)]]+1</f>
        <v>1</v>
      </c>
      <c r="L397" s="38">
        <f>IFERROR(IF(VLOOKUP(J397,'Facility Info Input'!$B$25:$D$34,3,FALSE)="",1,VLOOKUP(J397,'Facility Info Input'!$B$25:$D$34,3,FALSE)),0)</f>
        <v>0</v>
      </c>
      <c r="M397" s="22" t="str">
        <f>IF(StaffPayroll[[#This Row],[Employee ID Number / Code]]="","",IF(StaffPayroll[[#This Row],[Position / Title]]="","",VLOOKUP(StaffPayroll[[#This Row],[Position / Title]],Lists!A:C,2,FALSE)))</f>
        <v/>
      </c>
      <c r="N397" s="22">
        <f>IF(C397="",0,StaffPayroll[[#This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7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7" s="31">
        <f>IF(StaffPayroll[[#This Row],[Hourly WSB  Wage Minimum]]="",0,StaffPayroll[[#This Row],[Annual NF Wage Costs after WSB Minimum]]-StaffPayroll[[#This Row],[Annual NF Wage Costs before WSB Minimum]])</f>
        <v>0</v>
      </c>
      <c r="Q397" s="31">
        <f>IFERROR(IF(StaffPayroll[[#This Row],[Annual Cost of Wage Increase included in Rate Adjustment]]=0,0,P397*'Facility Info Input'!$F$10),0)</f>
        <v>0</v>
      </c>
      <c r="R397" s="32">
        <f>IFERROR(IF(StaffPayroll[[#This Row],[Annual Cost of Wage Increase included in Rate Adjustment]]=0,0,IF('Facility Info Input'!$F$11&lt;=0,0,P397*'Facility Info Input'!$F$11)),0)</f>
        <v>0</v>
      </c>
      <c r="S397" s="32">
        <f>IFERROR(IF(StaffPayroll[[#This Row],[Annual Cost of Wage Increase included in Rate Adjustment]]=0,0,IF('Facility Info Input'!$F$12&lt;=0,0,P397*'Facility Info Input'!$F$12)),0)</f>
        <v>0</v>
      </c>
      <c r="T397" s="32">
        <f t="shared" si="12"/>
        <v>0</v>
      </c>
      <c r="U397" s="33">
        <f t="shared" si="13"/>
        <v>0</v>
      </c>
    </row>
    <row r="398" spans="1:21">
      <c r="A398" s="76"/>
      <c r="B398" s="77"/>
      <c r="C398" s="81"/>
      <c r="D398" s="82"/>
      <c r="E398" s="82"/>
      <c r="F398" s="83"/>
      <c r="G398" s="84"/>
      <c r="H398" s="85"/>
      <c r="I398" s="71" t="e">
        <f>#REF!&amp;" "&amp;StaffPayroll[[#This Row],[Employee ID Number / Code]]</f>
        <v>#REF!</v>
      </c>
      <c r="J398" s="71" t="str">
        <f>_xlfn.IFNA(VLOOKUP(StaffPayroll[[#This Row],[Position / Title]],Lists!A:C,3,FALSE),"")</f>
        <v/>
      </c>
      <c r="K398" s="71">
        <f>StaffPayroll[[#This Row],[Payroll Period Ends Date (Minimum two months)]]-StaffPayroll[[#This Row],[Payroll Period Begins Date        (Must start after 6/1/2025)]]+1</f>
        <v>1</v>
      </c>
      <c r="L398" s="38">
        <f>IFERROR(IF(VLOOKUP(J398,'Facility Info Input'!$B$25:$D$34,3,FALSE)="",1,VLOOKUP(J398,'Facility Info Input'!$B$25:$D$34,3,FALSE)),0)</f>
        <v>0</v>
      </c>
      <c r="M398" s="22" t="str">
        <f>IF(StaffPayroll[[#This Row],[Employee ID Number / Code]]="","",IF(StaffPayroll[[#This Row],[Position / Title]]="","",VLOOKUP(StaffPayroll[[#This Row],[Position / Title]],Lists!A:C,2,FALSE)))</f>
        <v/>
      </c>
      <c r="N398" s="22">
        <f>IF(C398="",0,StaffPayroll[[#This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8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8" s="31">
        <f>IF(StaffPayroll[[#This Row],[Hourly WSB  Wage Minimum]]="",0,StaffPayroll[[#This Row],[Annual NF Wage Costs after WSB Minimum]]-StaffPayroll[[#This Row],[Annual NF Wage Costs before WSB Minimum]])</f>
        <v>0</v>
      </c>
      <c r="Q398" s="31">
        <f>IFERROR(IF(StaffPayroll[[#This Row],[Annual Cost of Wage Increase included in Rate Adjustment]]=0,0,P398*'Facility Info Input'!$F$10),0)</f>
        <v>0</v>
      </c>
      <c r="R398" s="32">
        <f>IFERROR(IF(StaffPayroll[[#This Row],[Annual Cost of Wage Increase included in Rate Adjustment]]=0,0,IF('Facility Info Input'!$F$11&lt;=0,0,P398*'Facility Info Input'!$F$11)),0)</f>
        <v>0</v>
      </c>
      <c r="S398" s="32">
        <f>IFERROR(IF(StaffPayroll[[#This Row],[Annual Cost of Wage Increase included in Rate Adjustment]]=0,0,IF('Facility Info Input'!$F$12&lt;=0,0,P398*'Facility Info Input'!$F$12)),0)</f>
        <v>0</v>
      </c>
      <c r="T398" s="32">
        <f t="shared" si="12"/>
        <v>0</v>
      </c>
      <c r="U398" s="33">
        <f t="shared" si="13"/>
        <v>0</v>
      </c>
    </row>
    <row r="399" spans="1:21">
      <c r="A399" s="76"/>
      <c r="B399" s="77"/>
      <c r="C399" s="81"/>
      <c r="D399" s="82"/>
      <c r="E399" s="82"/>
      <c r="F399" s="83"/>
      <c r="G399" s="84"/>
      <c r="H399" s="85"/>
      <c r="I399" s="71" t="e">
        <f>#REF!&amp;" "&amp;StaffPayroll[[#This Row],[Employee ID Number / Code]]</f>
        <v>#REF!</v>
      </c>
      <c r="J399" s="71" t="str">
        <f>_xlfn.IFNA(VLOOKUP(StaffPayroll[[#This Row],[Position / Title]],Lists!A:C,3,FALSE),"")</f>
        <v/>
      </c>
      <c r="K399" s="71">
        <f>StaffPayroll[[#This Row],[Payroll Period Ends Date (Minimum two months)]]-StaffPayroll[[#This Row],[Payroll Period Begins Date        (Must start after 6/1/2025)]]+1</f>
        <v>1</v>
      </c>
      <c r="L399" s="38">
        <f>IFERROR(IF(VLOOKUP(J399,'Facility Info Input'!$B$25:$D$34,3,FALSE)="",1,VLOOKUP(J399,'Facility Info Input'!$B$25:$D$34,3,FALSE)),0)</f>
        <v>0</v>
      </c>
      <c r="M399" s="22" t="str">
        <f>IF(StaffPayroll[[#This Row],[Employee ID Number / Code]]="","",IF(StaffPayroll[[#This Row],[Position / Title]]="","",VLOOKUP(StaffPayroll[[#This Row],[Position / Title]],Lists!A:C,2,FALSE)))</f>
        <v/>
      </c>
      <c r="N399" s="22">
        <f>IF(C399="",0,StaffPayroll[[#This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399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399" s="31">
        <f>IF(StaffPayroll[[#This Row],[Hourly WSB  Wage Minimum]]="",0,StaffPayroll[[#This Row],[Annual NF Wage Costs after WSB Minimum]]-StaffPayroll[[#This Row],[Annual NF Wage Costs before WSB Minimum]])</f>
        <v>0</v>
      </c>
      <c r="Q399" s="31">
        <f>IFERROR(IF(StaffPayroll[[#This Row],[Annual Cost of Wage Increase included in Rate Adjustment]]=0,0,P399*'Facility Info Input'!$F$10),0)</f>
        <v>0</v>
      </c>
      <c r="R399" s="32">
        <f>IFERROR(IF(StaffPayroll[[#This Row],[Annual Cost of Wage Increase included in Rate Adjustment]]=0,0,IF('Facility Info Input'!$F$11&lt;=0,0,P399*'Facility Info Input'!$F$11)),0)</f>
        <v>0</v>
      </c>
      <c r="S399" s="32">
        <f>IFERROR(IF(StaffPayroll[[#This Row],[Annual Cost of Wage Increase included in Rate Adjustment]]=0,0,IF('Facility Info Input'!$F$12&lt;=0,0,P399*'Facility Info Input'!$F$12)),0)</f>
        <v>0</v>
      </c>
      <c r="T399" s="32">
        <f t="shared" si="12"/>
        <v>0</v>
      </c>
      <c r="U399" s="33">
        <f t="shared" si="13"/>
        <v>0</v>
      </c>
    </row>
    <row r="400" spans="1:21">
      <c r="A400" s="76"/>
      <c r="B400" s="77"/>
      <c r="C400" s="81"/>
      <c r="D400" s="82"/>
      <c r="E400" s="82"/>
      <c r="F400" s="83"/>
      <c r="G400" s="84"/>
      <c r="H400" s="85"/>
      <c r="I400" s="71" t="e">
        <f>#REF!&amp;" "&amp;StaffPayroll[[#This Row],[Employee ID Number / Code]]</f>
        <v>#REF!</v>
      </c>
      <c r="J400" s="71" t="str">
        <f>_xlfn.IFNA(VLOOKUP(StaffPayroll[[#This Row],[Position / Title]],Lists!A:C,3,FALSE),"")</f>
        <v/>
      </c>
      <c r="K400" s="71">
        <f>StaffPayroll[[#This Row],[Payroll Period Ends Date (Minimum two months)]]-StaffPayroll[[#This Row],[Payroll Period Begins Date        (Must start after 6/1/2025)]]+1</f>
        <v>1</v>
      </c>
      <c r="L400" s="38">
        <f>IFERROR(IF(VLOOKUP(J400,'Facility Info Input'!$B$25:$D$34,3,FALSE)="",1,VLOOKUP(J400,'Facility Info Input'!$B$25:$D$34,3,FALSE)),0)</f>
        <v>0</v>
      </c>
      <c r="M400" s="22" t="str">
        <f>IF(StaffPayroll[[#This Row],[Employee ID Number / Code]]="","",IF(StaffPayroll[[#This Row],[Position / Title]]="","",VLOOKUP(StaffPayroll[[#This Row],[Position / Title]],Lists!A:C,2,FALSE)))</f>
        <v/>
      </c>
      <c r="N400" s="22">
        <f>IF(C400="",0,StaffPayroll[[#This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Row],[Hourly Rate of Pay before WSB Minimum]]*StaffPayroll[[#This Row],[Percentage Allocated to Nursing Facility? (%)]])</f>
        <v>0</v>
      </c>
      <c r="O400" s="22">
        <f>IF(StaffPayroll[[#This Row],[Hourly WSB  Wage Minimum]]="",0,StaffPayroll[[#This Row],[Total Compensated Hours during period submitted?]]/(StaffPayroll[[#This Row],[Payroll Period Ends Date (Minimum two months)]]-StaffPayroll[[#This Row],[Payroll Period Begins Date        (Must start after 6/1/2025)]]+1)*365*StaffPayroll[[#This Row],[Percentage Allocated to Nursing Facility? (%)]]*StaffPayroll[[#This Row],[Hourly WSB  Wage Minimum]])</f>
        <v>0</v>
      </c>
      <c r="P400" s="31">
        <f>IF(StaffPayroll[[#This Row],[Hourly WSB  Wage Minimum]]="",0,StaffPayroll[[#This Row],[Annual NF Wage Costs after WSB Minimum]]-StaffPayroll[[#This Row],[Annual NF Wage Costs before WSB Minimum]])</f>
        <v>0</v>
      </c>
      <c r="Q400" s="31">
        <f>IFERROR(IF(StaffPayroll[[#This Row],[Annual Cost of Wage Increase included in Rate Adjustment]]=0,0,P400*'Facility Info Input'!$F$10),0)</f>
        <v>0</v>
      </c>
      <c r="R400" s="32">
        <f>IFERROR(IF(StaffPayroll[[#This Row],[Annual Cost of Wage Increase included in Rate Adjustment]]=0,0,IF('Facility Info Input'!$F$11&lt;=0,0,P400*'Facility Info Input'!$F$11)),0)</f>
        <v>0</v>
      </c>
      <c r="S400" s="32">
        <f>IFERROR(IF(StaffPayroll[[#This Row],[Annual Cost of Wage Increase included in Rate Adjustment]]=0,0,IF('Facility Info Input'!$F$12&lt;=0,0,P400*'Facility Info Input'!$F$12)),0)</f>
        <v>0</v>
      </c>
      <c r="T400" s="32">
        <f t="shared" si="12"/>
        <v>0</v>
      </c>
      <c r="U400" s="33">
        <f t="shared" si="13"/>
        <v>0</v>
      </c>
    </row>
    <row r="401" spans="1:21" ht="15" thickBot="1">
      <c r="A401" s="46"/>
      <c r="B401" s="47"/>
      <c r="C401" s="48"/>
      <c r="D401" s="47"/>
      <c r="E401" s="47"/>
      <c r="F401" s="49">
        <f>SUBTOTAL(109,StaffPayroll[Total Compensated Hours during period submitted?])</f>
        <v>0</v>
      </c>
      <c r="G401" s="50"/>
      <c r="H401" s="51"/>
      <c r="I401" s="72"/>
      <c r="J401" s="72"/>
      <c r="K401" s="72"/>
      <c r="L401" s="39"/>
      <c r="M401" s="16"/>
      <c r="N401" s="18">
        <f>SUBTOTAL(109,StaffPayroll[Annual NF Wage Costs before WSB Minimum])</f>
        <v>0</v>
      </c>
      <c r="O401" s="18">
        <f>SUBTOTAL(109,StaffPayroll[Annual NF Wage Costs after WSB Minimum])</f>
        <v>0</v>
      </c>
      <c r="P401" s="18">
        <f>SUBTOTAL(109,StaffPayroll[Annual Cost of Wage Increase included in Rate Adjustment])</f>
        <v>0</v>
      </c>
      <c r="Q401" s="18">
        <f>SUBTOTAL(109,StaffPayroll[Employer FICA and Medicare Tax])</f>
        <v>0</v>
      </c>
      <c r="R401" s="18">
        <f>SUBTOTAL(109,StaffPayroll[Employer                                       FUTA / SUTA])</f>
        <v>0</v>
      </c>
      <c r="S401" s="18">
        <f>SUBTOTAL(109,StaffPayroll[Employer Worker''s Compensation Insurance])</f>
        <v>0</v>
      </c>
      <c r="T401" s="18">
        <f>SUBTOTAL(109,StaffPayroll[Employer Pension or Retirement Contribution])</f>
        <v>0</v>
      </c>
      <c r="U401" s="17">
        <f>SUBTOTAL(109,StaffPayroll[Total Annual Cost of Wage Increase included in Rate Adjustment])</f>
        <v>0</v>
      </c>
    </row>
  </sheetData>
  <sheetProtection algorithmName="SHA-512" hashValue="rEXtXJy4VsqkbNOIdu360VcDvaQBQ+sj2q1Bmu/6f9CWuuJAZZfL7aPKOkfQvUyK21vQN1trgjzF5c1R0vZ7HQ==" saltValue="N1IqOFBF4KfkE1vKIN06Fw==" spinCount="100000" sheet="1" objects="1" scenarios="1"/>
  <conditionalFormatting sqref="D2:D401">
    <cfRule type="expression" dxfId="101" priority="3">
      <formula>AND(NOT(ISBLANK(D2)), D2&lt;45810)</formula>
    </cfRule>
  </conditionalFormatting>
  <conditionalFormatting sqref="H2:H400">
    <cfRule type="expression" dxfId="100" priority="1">
      <formula>$G2="No"</formula>
    </cfRule>
  </conditionalFormatting>
  <dataValidations count="5">
    <dataValidation type="decimal" allowBlank="1" showInputMessage="1" showErrorMessage="1" errorTitle="Hourly Rate of Pay Error" error="The minimum allowed amount is $9.08 per hour; the maximum allowed amount is $26.99 per hour.  " sqref="C2:C400" xr:uid="{65441656-A5EE-4181-BF18-3B8CCCE1EDA5}">
      <formula1>9.08</formula1>
      <formula2>26.99</formula2>
    </dataValidation>
    <dataValidation type="decimal" allowBlank="1" showInputMessage="1" showErrorMessage="1" errorTitle="Compensated Hours Error" error="The minimum allowed amount is 0.10 hours; the maximum allowed amount is 1,920 hours." sqref="F2:F400" xr:uid="{DCCFFA56-C384-4BDC-86EB-A5DEA39BB705}">
      <formula1>0.1</formula1>
      <formula2>1920</formula2>
    </dataValidation>
    <dataValidation type="decimal" allowBlank="1" showInputMessage="1" showErrorMessage="1" errorTitle="Retirement % Error" error="The minimum allowed amount is 0 percent; the maximum allowed amount is 10 percent." sqref="H2:H400" xr:uid="{D0778B62-643A-44D2-915F-DF23EB42BBDF}">
      <formula1>0</formula1>
      <formula2>0.1</formula2>
    </dataValidation>
    <dataValidation type="date" operator="greaterThan" allowBlank="1" showInputMessage="1" showErrorMessage="1" errorTitle="Start Date Error" error="Payroll Period Begins Date must start on or after 6/2/2025." sqref="D2:D400" xr:uid="{B43D1A14-A878-4393-A71A-B6DC2C2874AB}">
      <formula1>45809</formula1>
    </dataValidation>
    <dataValidation type="date" allowBlank="1" showInputMessage="1" showErrorMessage="1" errorTitle="End Date Error" error="Payroll Period Ends Date must be atleast two months after Payroll Period Begins Date.  The earliest allowed date is 8/1/2025 and the latest allowed date is 10/1/2025." sqref="E2:E400" xr:uid="{1FC094F5-4661-496A-B7D6-479B7922CD6C}">
      <formula1>45870</formula1>
      <formula2>45931</formula2>
    </dataValidation>
  </dataValidations>
  <printOptions horizontalCentered="1"/>
  <pageMargins left="0.7" right="0.7" top="0.75" bottom="0.75" header="0.3" footer="0.3"/>
  <pageSetup paperSize="4" scale="55" orientation="portrait" horizontalDpi="1200" verticalDpi="1200" r:id="rId1"/>
  <headerFooter>
    <oddHeader>&amp;C&amp;F</oddHeader>
    <oddFooter>&amp;L&amp;A&amp;C&amp;BState of MN Confidential&amp;B&amp;RPage &amp;P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choose Yes or No from the drop down menu." xr:uid="{5DE892EF-A29A-4DC3-BD37-EF1D0846A1C5}">
          <x14:formula1>
            <xm:f>Lists!$G$2:$G$4</xm:f>
          </x14:formula1>
          <xm:sqref>G2:G400</xm:sqref>
        </x14:dataValidation>
        <x14:dataValidation type="list" allowBlank="1" showInputMessage="1" showErrorMessage="1" error="Please choose from the drop down menu." xr:uid="{FD906F4D-036D-431D-AE50-41B192B87D73}">
          <x14:formula1>
            <xm:f>Lists!$A$2:$A$36</xm:f>
          </x14:formula1>
          <xm:sqref>B2:B400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C78B-B02F-4B50-BD28-16D517E814FD}">
  <sheetPr>
    <tabColor rgb="FF00B0F0"/>
  </sheetPr>
  <dimension ref="A1:W401"/>
  <sheetViews>
    <sheetView zoomScaleNormal="100" workbookViewId="0">
      <selection activeCell="A2" sqref="A2"/>
    </sheetView>
  </sheetViews>
  <sheetFormatPr defaultColWidth="9.28515625" defaultRowHeight="14.45"/>
  <cols>
    <col min="1" max="1" width="25.7109375" style="1" customWidth="1"/>
    <col min="2" max="2" width="16.7109375" style="1" customWidth="1"/>
    <col min="3" max="3" width="23.28515625" style="1" customWidth="1"/>
    <col min="4" max="12" width="14.7109375" style="1" customWidth="1"/>
    <col min="13" max="13" width="13.7109375" style="1" hidden="1" customWidth="1"/>
    <col min="14" max="14" width="20.7109375" style="1" hidden="1" customWidth="1"/>
    <col min="15" max="17" width="14.7109375" style="1" customWidth="1"/>
    <col min="18" max="23" width="15.7109375" style="1" customWidth="1"/>
    <col min="24" max="24" width="17" style="1" customWidth="1"/>
    <col min="25" max="16384" width="9.28515625" style="1"/>
  </cols>
  <sheetData>
    <row r="1" spans="1:23" ht="100.9">
      <c r="A1" s="11" t="s">
        <v>50</v>
      </c>
      <c r="B1" s="14" t="s">
        <v>29</v>
      </c>
      <c r="C1" s="11" t="s">
        <v>30</v>
      </c>
      <c r="D1" s="11" t="s">
        <v>31</v>
      </c>
      <c r="E1" s="11" t="s">
        <v>32</v>
      </c>
      <c r="F1" s="11" t="s">
        <v>33</v>
      </c>
      <c r="G1" s="11" t="s">
        <v>34</v>
      </c>
      <c r="H1" s="11" t="s">
        <v>35</v>
      </c>
      <c r="I1" s="11" t="s">
        <v>36</v>
      </c>
      <c r="J1" s="11" t="s">
        <v>51</v>
      </c>
      <c r="K1" s="11" t="s">
        <v>52</v>
      </c>
      <c r="L1" s="11" t="s">
        <v>53</v>
      </c>
      <c r="M1" s="73" t="s">
        <v>37</v>
      </c>
      <c r="N1" s="73" t="s">
        <v>38</v>
      </c>
      <c r="O1" s="12" t="s">
        <v>41</v>
      </c>
      <c r="P1" s="12" t="s">
        <v>42</v>
      </c>
      <c r="Q1" s="23" t="s">
        <v>43</v>
      </c>
      <c r="R1" s="13" t="s">
        <v>44</v>
      </c>
      <c r="S1" s="13" t="s">
        <v>45</v>
      </c>
      <c r="T1" s="13" t="s">
        <v>46</v>
      </c>
      <c r="U1" s="13" t="s">
        <v>47</v>
      </c>
      <c r="V1" s="13" t="s">
        <v>48</v>
      </c>
      <c r="W1" s="20" t="s">
        <v>49</v>
      </c>
    </row>
    <row r="2" spans="1:23">
      <c r="A2" s="77"/>
      <c r="B2" s="76"/>
      <c r="C2" s="77"/>
      <c r="D2" s="81"/>
      <c r="E2" s="82"/>
      <c r="F2" s="82"/>
      <c r="G2" s="83"/>
      <c r="H2" s="84"/>
      <c r="I2" s="85"/>
      <c r="J2" s="85"/>
      <c r="K2" s="85"/>
      <c r="L2" s="85"/>
      <c r="M2" s="93" t="e">
        <f>#REF!&amp;" "&amp;ContractorPayroll[[#This Row],[Employee ID Number / Code]]</f>
        <v>#REF!</v>
      </c>
      <c r="N2" s="71" t="str">
        <f>_xlfn.IFNA(IF(C2="","",VLOOKUP(ContractorPayroll[[#This Row],[Position / Title]],Lists!I:K,3,FALSE)),"")</f>
        <v/>
      </c>
      <c r="O2" s="42" t="str">
        <f>IF(ContractorPayroll[[#This Row],[Position / Title]]="","",VLOOKUP(ContractorPayroll[[#This Row],[Position / Title]],Lists!I:K,2,FALSE))</f>
        <v/>
      </c>
      <c r="P2" s="22" t="str">
        <f>IF(D2="","",ContractorPayroll[[#This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" s="31">
        <f>IFERROR(IF(ContractorPayroll[[#This Row],[Annual Cost of Wage Increase included in Rate Adjustment]]=0,0,R2*'Facility Info Input'!$F$10),0)</f>
        <v>0</v>
      </c>
      <c r="T2" s="32">
        <f t="shared" ref="T2:T65" si="0">IFERROR(J2*R2,0)</f>
        <v>0</v>
      </c>
      <c r="U2" s="32">
        <f t="shared" ref="U2:U65" si="1">IFERROR(K2*R2,0)</f>
        <v>0</v>
      </c>
      <c r="V2" s="32">
        <f t="shared" ref="V2:V65" si="2">IFERROR(IF(H2="Yes",I2*R2,0),0)</f>
        <v>0</v>
      </c>
      <c r="W2" s="32">
        <f>IFERROR(SUM(R2:V2),0)</f>
        <v>0</v>
      </c>
    </row>
    <row r="3" spans="1:23">
      <c r="A3" s="77"/>
      <c r="B3" s="76"/>
      <c r="C3" s="77"/>
      <c r="D3" s="81"/>
      <c r="E3" s="82"/>
      <c r="F3" s="82"/>
      <c r="G3" s="83"/>
      <c r="H3" s="84"/>
      <c r="I3" s="85"/>
      <c r="J3" s="85"/>
      <c r="K3" s="85"/>
      <c r="L3" s="85"/>
      <c r="M3" s="93" t="e">
        <f>#REF!&amp;" "&amp;ContractorPayroll[[#This Row],[Employee ID Number / Code]]</f>
        <v>#REF!</v>
      </c>
      <c r="N3" s="71" t="str">
        <f>_xlfn.IFNA(IF(C3="","",VLOOKUP(ContractorPayroll[[#This Row],[Position / Title]],Lists!I:K,3,FALSE)),"")</f>
        <v/>
      </c>
      <c r="O3" s="42" t="str">
        <f>IF(ContractorPayroll[[#This Row],[Position / Title]]="","",VLOOKUP(ContractorPayroll[[#This Row],[Position / Title]],Lists!I:K,2,FALSE))</f>
        <v/>
      </c>
      <c r="P3" s="22" t="str">
        <f>IF(D3="","",ContractorPayroll[[#This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" s="31">
        <f>IFERROR(IF(ContractorPayroll[[#This Row],[Annual Cost of Wage Increase included in Rate Adjustment]]=0,0,R3*'Facility Info Input'!$F$10),0)</f>
        <v>0</v>
      </c>
      <c r="T3" s="32">
        <f t="shared" si="0"/>
        <v>0</v>
      </c>
      <c r="U3" s="32">
        <f t="shared" si="1"/>
        <v>0</v>
      </c>
      <c r="V3" s="32">
        <f t="shared" si="2"/>
        <v>0</v>
      </c>
      <c r="W3" s="32">
        <f t="shared" ref="W3:W66" si="3">IFERROR(SUM(R3:V3),0)</f>
        <v>0</v>
      </c>
    </row>
    <row r="4" spans="1:23">
      <c r="A4" s="77"/>
      <c r="B4" s="76"/>
      <c r="C4" s="77"/>
      <c r="D4" s="81"/>
      <c r="E4" s="82"/>
      <c r="F4" s="82"/>
      <c r="G4" s="83"/>
      <c r="H4" s="84"/>
      <c r="I4" s="85"/>
      <c r="J4" s="85"/>
      <c r="K4" s="85"/>
      <c r="L4" s="85"/>
      <c r="M4" s="93" t="e">
        <f>#REF!&amp;" "&amp;ContractorPayroll[[#This Row],[Employee ID Number / Code]]</f>
        <v>#REF!</v>
      </c>
      <c r="N4" s="71" t="str">
        <f>_xlfn.IFNA(IF(C4="","",VLOOKUP(ContractorPayroll[[#This Row],[Position / Title]],Lists!I:K,3,FALSE)),"")</f>
        <v/>
      </c>
      <c r="O4" s="42" t="str">
        <f>IF(ContractorPayroll[[#This Row],[Position / Title]]="","",VLOOKUP(ContractorPayroll[[#This Row],[Position / Title]],Lists!I:K,2,FALSE))</f>
        <v/>
      </c>
      <c r="P4" s="22" t="str">
        <f>IF(D4="","",ContractorPayroll[[#This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" s="31">
        <f>IFERROR(IF(ContractorPayroll[[#This Row],[Annual Cost of Wage Increase included in Rate Adjustment]]=0,0,R4*'Facility Info Input'!$F$10),0)</f>
        <v>0</v>
      </c>
      <c r="T4" s="32">
        <f t="shared" si="0"/>
        <v>0</v>
      </c>
      <c r="U4" s="32">
        <f t="shared" si="1"/>
        <v>0</v>
      </c>
      <c r="V4" s="32">
        <f t="shared" si="2"/>
        <v>0</v>
      </c>
      <c r="W4" s="32">
        <f t="shared" si="3"/>
        <v>0</v>
      </c>
    </row>
    <row r="5" spans="1:23">
      <c r="A5" s="77"/>
      <c r="B5" s="76"/>
      <c r="C5" s="77"/>
      <c r="D5" s="81"/>
      <c r="E5" s="82"/>
      <c r="F5" s="82"/>
      <c r="G5" s="83"/>
      <c r="H5" s="84"/>
      <c r="I5" s="85"/>
      <c r="J5" s="85"/>
      <c r="K5" s="85"/>
      <c r="L5" s="85"/>
      <c r="M5" s="93" t="e">
        <f>#REF!&amp;" "&amp;ContractorPayroll[[#This Row],[Employee ID Number / Code]]</f>
        <v>#REF!</v>
      </c>
      <c r="N5" s="71" t="str">
        <f>_xlfn.IFNA(IF(C5="","",VLOOKUP(ContractorPayroll[[#This Row],[Position / Title]],Lists!I:K,3,FALSE)),"")</f>
        <v/>
      </c>
      <c r="O5" s="42" t="str">
        <f>IF(ContractorPayroll[[#This Row],[Position / Title]]="","",VLOOKUP(ContractorPayroll[[#This Row],[Position / Title]],Lists!I:K,2,FALSE))</f>
        <v/>
      </c>
      <c r="P5" s="22" t="str">
        <f>IF(D5="","",ContractorPayroll[[#This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" s="31">
        <f>IFERROR(IF(ContractorPayroll[[#This Row],[Annual Cost of Wage Increase included in Rate Adjustment]]=0,0,R5*'Facility Info Input'!$F$10),0)</f>
        <v>0</v>
      </c>
      <c r="T5" s="32">
        <f t="shared" si="0"/>
        <v>0</v>
      </c>
      <c r="U5" s="32">
        <f t="shared" si="1"/>
        <v>0</v>
      </c>
      <c r="V5" s="32">
        <f t="shared" si="2"/>
        <v>0</v>
      </c>
      <c r="W5" s="32">
        <f t="shared" si="3"/>
        <v>0</v>
      </c>
    </row>
    <row r="6" spans="1:23">
      <c r="A6" s="77"/>
      <c r="B6" s="86"/>
      <c r="C6" s="77"/>
      <c r="D6" s="88"/>
      <c r="E6" s="82"/>
      <c r="F6" s="89"/>
      <c r="G6" s="90"/>
      <c r="H6" s="74"/>
      <c r="I6" s="85"/>
      <c r="J6" s="91"/>
      <c r="K6" s="91"/>
      <c r="L6" s="91"/>
      <c r="M6" s="93" t="e">
        <f>#REF!&amp;" "&amp;ContractorPayroll[[#This Row],[Employee ID Number / Code]]</f>
        <v>#REF!</v>
      </c>
      <c r="N6" s="71" t="str">
        <f>_xlfn.IFNA(IF(C6="","",VLOOKUP(ContractorPayroll[[#This Row],[Position / Title]],Lists!I:K,3,FALSE)),"")</f>
        <v/>
      </c>
      <c r="O6" s="42" t="str">
        <f>IF(ContractorPayroll[[#This Row],[Position / Title]]="","",VLOOKUP(ContractorPayroll[[#This Row],[Position / Title]],Lists!I:K,2,FALSE))</f>
        <v/>
      </c>
      <c r="P6" s="22" t="str">
        <f>IF(D6="","",ContractorPayroll[[#This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" s="31">
        <f>IFERROR(IF(ContractorPayroll[[#This Row],[Annual Cost of Wage Increase included in Rate Adjustment]]=0,0,R6*'Facility Info Input'!$F$10),0)</f>
        <v>0</v>
      </c>
      <c r="T6" s="32">
        <f t="shared" si="0"/>
        <v>0</v>
      </c>
      <c r="U6" s="32">
        <f t="shared" si="1"/>
        <v>0</v>
      </c>
      <c r="V6" s="32">
        <f t="shared" si="2"/>
        <v>0</v>
      </c>
      <c r="W6" s="32">
        <f t="shared" si="3"/>
        <v>0</v>
      </c>
    </row>
    <row r="7" spans="1:23">
      <c r="A7" s="77"/>
      <c r="B7" s="86"/>
      <c r="C7" s="77"/>
      <c r="D7" s="88"/>
      <c r="E7" s="82"/>
      <c r="F7" s="89"/>
      <c r="G7" s="90"/>
      <c r="H7" s="74"/>
      <c r="I7" s="85"/>
      <c r="J7" s="91"/>
      <c r="K7" s="91"/>
      <c r="L7" s="91"/>
      <c r="M7" s="93" t="e">
        <f>#REF!&amp;" "&amp;ContractorPayroll[[#This Row],[Employee ID Number / Code]]</f>
        <v>#REF!</v>
      </c>
      <c r="N7" s="71" t="str">
        <f>_xlfn.IFNA(IF(C7="","",VLOOKUP(ContractorPayroll[[#This Row],[Position / Title]],Lists!I:K,3,FALSE)),"")</f>
        <v/>
      </c>
      <c r="O7" s="42" t="str">
        <f>IF(ContractorPayroll[[#This Row],[Position / Title]]="","",VLOOKUP(ContractorPayroll[[#This Row],[Position / Title]],Lists!I:K,2,FALSE))</f>
        <v/>
      </c>
      <c r="P7" s="22" t="str">
        <f>IF(D7="","",ContractorPayroll[[#This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" s="31">
        <f>IFERROR(IF(ContractorPayroll[[#This Row],[Annual Cost of Wage Increase included in Rate Adjustment]]=0,0,R7*'Facility Info Input'!$F$10),0)</f>
        <v>0</v>
      </c>
      <c r="T7" s="32">
        <f t="shared" si="0"/>
        <v>0</v>
      </c>
      <c r="U7" s="32">
        <f t="shared" si="1"/>
        <v>0</v>
      </c>
      <c r="V7" s="32">
        <f t="shared" si="2"/>
        <v>0</v>
      </c>
      <c r="W7" s="32">
        <f t="shared" si="3"/>
        <v>0</v>
      </c>
    </row>
    <row r="8" spans="1:23">
      <c r="A8" s="77"/>
      <c r="B8" s="86"/>
      <c r="C8" s="77"/>
      <c r="D8" s="88"/>
      <c r="E8" s="82"/>
      <c r="F8" s="89"/>
      <c r="G8" s="90"/>
      <c r="H8" s="74"/>
      <c r="I8" s="85"/>
      <c r="J8" s="91"/>
      <c r="K8" s="91"/>
      <c r="L8" s="91"/>
      <c r="M8" s="93" t="e">
        <f>#REF!&amp;" "&amp;ContractorPayroll[[#This Row],[Employee ID Number / Code]]</f>
        <v>#REF!</v>
      </c>
      <c r="N8" s="71" t="str">
        <f>_xlfn.IFNA(IF(C8="","",VLOOKUP(ContractorPayroll[[#This Row],[Position / Title]],Lists!I:K,3,FALSE)),"")</f>
        <v/>
      </c>
      <c r="O8" s="42" t="str">
        <f>IF(ContractorPayroll[[#This Row],[Position / Title]]="","",VLOOKUP(ContractorPayroll[[#This Row],[Position / Title]],Lists!I:K,2,FALSE))</f>
        <v/>
      </c>
      <c r="P8" s="22" t="str">
        <f>IF(D8="","",ContractorPayroll[[#This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" s="31">
        <f>IFERROR(IF(ContractorPayroll[[#This Row],[Annual Cost of Wage Increase included in Rate Adjustment]]=0,0,R8*'Facility Info Input'!$F$10),0)</f>
        <v>0</v>
      </c>
      <c r="T8" s="32">
        <f t="shared" si="0"/>
        <v>0</v>
      </c>
      <c r="U8" s="32">
        <f t="shared" si="1"/>
        <v>0</v>
      </c>
      <c r="V8" s="32">
        <f t="shared" si="2"/>
        <v>0</v>
      </c>
      <c r="W8" s="32">
        <f t="shared" si="3"/>
        <v>0</v>
      </c>
    </row>
    <row r="9" spans="1:23">
      <c r="A9" s="77"/>
      <c r="B9" s="86"/>
      <c r="C9" s="77"/>
      <c r="D9" s="88"/>
      <c r="E9" s="82"/>
      <c r="F9" s="89"/>
      <c r="G9" s="90"/>
      <c r="H9" s="74"/>
      <c r="I9" s="85"/>
      <c r="J9" s="91"/>
      <c r="K9" s="91"/>
      <c r="L9" s="91"/>
      <c r="M9" s="93" t="e">
        <f>#REF!&amp;" "&amp;ContractorPayroll[[#This Row],[Employee ID Number / Code]]</f>
        <v>#REF!</v>
      </c>
      <c r="N9" s="71" t="str">
        <f>_xlfn.IFNA(IF(C9="","",VLOOKUP(ContractorPayroll[[#This Row],[Position / Title]],Lists!I:K,3,FALSE)),"")</f>
        <v/>
      </c>
      <c r="O9" s="42" t="str">
        <f>IF(ContractorPayroll[[#This Row],[Position / Title]]="","",VLOOKUP(ContractorPayroll[[#This Row],[Position / Title]],Lists!I:K,2,FALSE))</f>
        <v/>
      </c>
      <c r="P9" s="22" t="str">
        <f>IF(D9="","",ContractorPayroll[[#This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" s="31">
        <f>IFERROR(IF(ContractorPayroll[[#This Row],[Annual Cost of Wage Increase included in Rate Adjustment]]=0,0,R9*'Facility Info Input'!$F$10),0)</f>
        <v>0</v>
      </c>
      <c r="T9" s="32">
        <f t="shared" si="0"/>
        <v>0</v>
      </c>
      <c r="U9" s="32">
        <f t="shared" si="1"/>
        <v>0</v>
      </c>
      <c r="V9" s="32">
        <f t="shared" si="2"/>
        <v>0</v>
      </c>
      <c r="W9" s="32">
        <f t="shared" si="3"/>
        <v>0</v>
      </c>
    </row>
    <row r="10" spans="1:23">
      <c r="A10" s="77"/>
      <c r="B10" s="86"/>
      <c r="C10" s="77"/>
      <c r="D10" s="88"/>
      <c r="E10" s="82"/>
      <c r="F10" s="89"/>
      <c r="G10" s="90"/>
      <c r="H10" s="74"/>
      <c r="I10" s="85"/>
      <c r="J10" s="91"/>
      <c r="K10" s="91"/>
      <c r="L10" s="91"/>
      <c r="M10" s="93" t="e">
        <f>#REF!&amp;" "&amp;ContractorPayroll[[#This Row],[Employee ID Number / Code]]</f>
        <v>#REF!</v>
      </c>
      <c r="N10" s="71" t="str">
        <f>_xlfn.IFNA(IF(C10="","",VLOOKUP(ContractorPayroll[[#This Row],[Position / Title]],Lists!I:K,3,FALSE)),"")</f>
        <v/>
      </c>
      <c r="O10" s="42" t="str">
        <f>IF(ContractorPayroll[[#This Row],[Position / Title]]="","",VLOOKUP(ContractorPayroll[[#This Row],[Position / Title]],Lists!I:K,2,FALSE))</f>
        <v/>
      </c>
      <c r="P10" s="22" t="str">
        <f>IF(D10="","",ContractorPayroll[[#This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" s="31">
        <f>IFERROR(IF(ContractorPayroll[[#This Row],[Annual Cost of Wage Increase included in Rate Adjustment]]=0,0,R10*'Facility Info Input'!$F$10),0)</f>
        <v>0</v>
      </c>
      <c r="T10" s="32">
        <f t="shared" si="0"/>
        <v>0</v>
      </c>
      <c r="U10" s="32">
        <f t="shared" si="1"/>
        <v>0</v>
      </c>
      <c r="V10" s="32">
        <f t="shared" si="2"/>
        <v>0</v>
      </c>
      <c r="W10" s="32">
        <f t="shared" si="3"/>
        <v>0</v>
      </c>
    </row>
    <row r="11" spans="1:23">
      <c r="A11" s="77"/>
      <c r="B11" s="76"/>
      <c r="C11" s="77"/>
      <c r="D11" s="81"/>
      <c r="E11" s="82"/>
      <c r="F11" s="89"/>
      <c r="G11" s="83"/>
      <c r="H11" s="84"/>
      <c r="I11" s="85"/>
      <c r="J11" s="85"/>
      <c r="K11" s="85"/>
      <c r="L11" s="91"/>
      <c r="M11" s="93" t="e">
        <f>#REF!&amp;" "&amp;ContractorPayroll[[#This Row],[Employee ID Number / Code]]</f>
        <v>#REF!</v>
      </c>
      <c r="N11" s="71" t="str">
        <f>_xlfn.IFNA(IF(C11="","",VLOOKUP(ContractorPayroll[[#This Row],[Position / Title]],Lists!I:K,3,FALSE)),"")</f>
        <v/>
      </c>
      <c r="O11" s="42" t="str">
        <f>IF(ContractorPayroll[[#This Row],[Position / Title]]="","",VLOOKUP(ContractorPayroll[[#This Row],[Position / Title]],Lists!I:K,2,FALSE))</f>
        <v/>
      </c>
      <c r="P11" s="22" t="str">
        <f>IF(D11="","",ContractorPayroll[[#This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" s="31">
        <f>IFERROR(IF(ContractorPayroll[[#This Row],[Annual Cost of Wage Increase included in Rate Adjustment]]=0,0,R11*'Facility Info Input'!$F$10),0)</f>
        <v>0</v>
      </c>
      <c r="T11" s="32">
        <f t="shared" si="0"/>
        <v>0</v>
      </c>
      <c r="U11" s="32">
        <f t="shared" si="1"/>
        <v>0</v>
      </c>
      <c r="V11" s="32">
        <f t="shared" si="2"/>
        <v>0</v>
      </c>
      <c r="W11" s="32">
        <f t="shared" si="3"/>
        <v>0</v>
      </c>
    </row>
    <row r="12" spans="1:23">
      <c r="A12" s="77"/>
      <c r="B12" s="76"/>
      <c r="C12" s="77"/>
      <c r="D12" s="81"/>
      <c r="E12" s="82"/>
      <c r="F12" s="89"/>
      <c r="G12" s="83"/>
      <c r="H12" s="84"/>
      <c r="I12" s="85"/>
      <c r="J12" s="85"/>
      <c r="K12" s="85"/>
      <c r="L12" s="91"/>
      <c r="M12" s="93" t="e">
        <f>#REF!&amp;" "&amp;ContractorPayroll[[#This Row],[Employee ID Number / Code]]</f>
        <v>#REF!</v>
      </c>
      <c r="N12" s="71" t="str">
        <f>_xlfn.IFNA(IF(C12="","",VLOOKUP(ContractorPayroll[[#This Row],[Position / Title]],Lists!I:K,3,FALSE)),"")</f>
        <v/>
      </c>
      <c r="O12" s="42" t="str">
        <f>IF(ContractorPayroll[[#This Row],[Position / Title]]="","",VLOOKUP(ContractorPayroll[[#This Row],[Position / Title]],Lists!I:K,2,FALSE))</f>
        <v/>
      </c>
      <c r="P12" s="22" t="str">
        <f>IF(D12="","",ContractorPayroll[[#This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" s="31">
        <f>IFERROR(IF(ContractorPayroll[[#This Row],[Annual Cost of Wage Increase included in Rate Adjustment]]=0,0,R12*'Facility Info Input'!$F$10),0)</f>
        <v>0</v>
      </c>
      <c r="T12" s="32">
        <f t="shared" si="0"/>
        <v>0</v>
      </c>
      <c r="U12" s="32">
        <f t="shared" si="1"/>
        <v>0</v>
      </c>
      <c r="V12" s="32">
        <f t="shared" si="2"/>
        <v>0</v>
      </c>
      <c r="W12" s="32">
        <f t="shared" si="3"/>
        <v>0</v>
      </c>
    </row>
    <row r="13" spans="1:23">
      <c r="A13" s="77"/>
      <c r="B13" s="76"/>
      <c r="C13" s="77"/>
      <c r="D13" s="81"/>
      <c r="E13" s="82"/>
      <c r="F13" s="89"/>
      <c r="G13" s="83"/>
      <c r="H13" s="84"/>
      <c r="I13" s="85"/>
      <c r="J13" s="85"/>
      <c r="K13" s="85"/>
      <c r="L13" s="91"/>
      <c r="M13" s="93" t="e">
        <f>#REF!&amp;" "&amp;ContractorPayroll[[#This Row],[Employee ID Number / Code]]</f>
        <v>#REF!</v>
      </c>
      <c r="N13" s="71" t="str">
        <f>_xlfn.IFNA(IF(C13="","",VLOOKUP(ContractorPayroll[[#This Row],[Position / Title]],Lists!I:K,3,FALSE)),"")</f>
        <v/>
      </c>
      <c r="O13" s="42" t="str">
        <f>IF(ContractorPayroll[[#This Row],[Position / Title]]="","",VLOOKUP(ContractorPayroll[[#This Row],[Position / Title]],Lists!I:K,2,FALSE))</f>
        <v/>
      </c>
      <c r="P13" s="22" t="str">
        <f>IF(D13="","",ContractorPayroll[[#This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" s="31">
        <f>IFERROR(IF(ContractorPayroll[[#This Row],[Annual Cost of Wage Increase included in Rate Adjustment]]=0,0,R13*'Facility Info Input'!$F$10),0)</f>
        <v>0</v>
      </c>
      <c r="T13" s="32">
        <f t="shared" si="0"/>
        <v>0</v>
      </c>
      <c r="U13" s="32">
        <f t="shared" si="1"/>
        <v>0</v>
      </c>
      <c r="V13" s="32">
        <f t="shared" si="2"/>
        <v>0</v>
      </c>
      <c r="W13" s="32">
        <f t="shared" si="3"/>
        <v>0</v>
      </c>
    </row>
    <row r="14" spans="1:23">
      <c r="A14" s="77"/>
      <c r="B14" s="76"/>
      <c r="C14" s="77"/>
      <c r="D14" s="81"/>
      <c r="E14" s="82"/>
      <c r="F14" s="89"/>
      <c r="G14" s="83"/>
      <c r="H14" s="84"/>
      <c r="I14" s="85"/>
      <c r="J14" s="85"/>
      <c r="K14" s="85"/>
      <c r="L14" s="91"/>
      <c r="M14" s="93" t="e">
        <f>#REF!&amp;" "&amp;ContractorPayroll[[#This Row],[Employee ID Number / Code]]</f>
        <v>#REF!</v>
      </c>
      <c r="N14" s="71" t="str">
        <f>_xlfn.IFNA(IF(C14="","",VLOOKUP(ContractorPayroll[[#This Row],[Position / Title]],Lists!I:K,3,FALSE)),"")</f>
        <v/>
      </c>
      <c r="O14" s="42" t="str">
        <f>IF(ContractorPayroll[[#This Row],[Position / Title]]="","",VLOOKUP(ContractorPayroll[[#This Row],[Position / Title]],Lists!I:K,2,FALSE))</f>
        <v/>
      </c>
      <c r="P14" s="22" t="str">
        <f>IF(D14="","",ContractorPayroll[[#This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" s="31">
        <f>IFERROR(IF(ContractorPayroll[[#This Row],[Annual Cost of Wage Increase included in Rate Adjustment]]=0,0,R14*'Facility Info Input'!$F$10),0)</f>
        <v>0</v>
      </c>
      <c r="T14" s="32">
        <f t="shared" si="0"/>
        <v>0</v>
      </c>
      <c r="U14" s="32">
        <f t="shared" si="1"/>
        <v>0</v>
      </c>
      <c r="V14" s="32">
        <f t="shared" si="2"/>
        <v>0</v>
      </c>
      <c r="W14" s="32">
        <f t="shared" si="3"/>
        <v>0</v>
      </c>
    </row>
    <row r="15" spans="1:23">
      <c r="A15" s="77"/>
      <c r="B15" s="76"/>
      <c r="C15" s="77"/>
      <c r="D15" s="81"/>
      <c r="E15" s="82"/>
      <c r="F15" s="82"/>
      <c r="G15" s="83"/>
      <c r="H15" s="84"/>
      <c r="I15" s="85"/>
      <c r="J15" s="85"/>
      <c r="K15" s="85"/>
      <c r="L15" s="85"/>
      <c r="M15" s="93" t="e">
        <f>#REF!&amp;" "&amp;ContractorPayroll[[#This Row],[Employee ID Number / Code]]</f>
        <v>#REF!</v>
      </c>
      <c r="N15" s="71" t="str">
        <f>_xlfn.IFNA(IF(C15="","",VLOOKUP(ContractorPayroll[[#This Row],[Position / Title]],Lists!I:K,3,FALSE)),"")</f>
        <v/>
      </c>
      <c r="O15" s="42" t="str">
        <f>IF(ContractorPayroll[[#This Row],[Position / Title]]="","",VLOOKUP(ContractorPayroll[[#This Row],[Position / Title]],Lists!I:K,2,FALSE))</f>
        <v/>
      </c>
      <c r="P15" s="22" t="str">
        <f>IF(D15="","",ContractorPayroll[[#This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" s="31">
        <f>IFERROR(IF(ContractorPayroll[[#This Row],[Annual Cost of Wage Increase included in Rate Adjustment]]=0,0,R15*'Facility Info Input'!$F$10),0)</f>
        <v>0</v>
      </c>
      <c r="T15" s="32">
        <f t="shared" si="0"/>
        <v>0</v>
      </c>
      <c r="U15" s="32">
        <f t="shared" si="1"/>
        <v>0</v>
      </c>
      <c r="V15" s="32">
        <f t="shared" si="2"/>
        <v>0</v>
      </c>
      <c r="W15" s="32">
        <f t="shared" si="3"/>
        <v>0</v>
      </c>
    </row>
    <row r="16" spans="1:23">
      <c r="A16" s="77"/>
      <c r="B16" s="76"/>
      <c r="C16" s="77"/>
      <c r="D16" s="81"/>
      <c r="E16" s="82"/>
      <c r="F16" s="82"/>
      <c r="G16" s="83"/>
      <c r="H16" s="84"/>
      <c r="I16" s="85"/>
      <c r="J16" s="85"/>
      <c r="K16" s="85"/>
      <c r="L16" s="85"/>
      <c r="M16" s="93" t="e">
        <f>#REF!&amp;" "&amp;ContractorPayroll[[#This Row],[Employee ID Number / Code]]</f>
        <v>#REF!</v>
      </c>
      <c r="N16" s="71" t="str">
        <f>_xlfn.IFNA(IF(C16="","",VLOOKUP(ContractorPayroll[[#This Row],[Position / Title]],Lists!I:K,3,FALSE)),"")</f>
        <v/>
      </c>
      <c r="O16" s="42" t="str">
        <f>IF(ContractorPayroll[[#This Row],[Position / Title]]="","",VLOOKUP(ContractorPayroll[[#This Row],[Position / Title]],Lists!I:K,2,FALSE))</f>
        <v/>
      </c>
      <c r="P16" s="22" t="str">
        <f>IF(D16="","",ContractorPayroll[[#This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" s="31">
        <f>IFERROR(IF(ContractorPayroll[[#This Row],[Annual Cost of Wage Increase included in Rate Adjustment]]=0,0,R16*'Facility Info Input'!$F$10),0)</f>
        <v>0</v>
      </c>
      <c r="T16" s="32">
        <f t="shared" si="0"/>
        <v>0</v>
      </c>
      <c r="U16" s="32">
        <f t="shared" si="1"/>
        <v>0</v>
      </c>
      <c r="V16" s="32">
        <f t="shared" si="2"/>
        <v>0</v>
      </c>
      <c r="W16" s="32">
        <f t="shared" si="3"/>
        <v>0</v>
      </c>
    </row>
    <row r="17" spans="1:23">
      <c r="A17" s="77"/>
      <c r="B17" s="76"/>
      <c r="C17" s="77"/>
      <c r="D17" s="81"/>
      <c r="E17" s="82"/>
      <c r="F17" s="82"/>
      <c r="G17" s="83"/>
      <c r="H17" s="84"/>
      <c r="I17" s="85"/>
      <c r="J17" s="85"/>
      <c r="K17" s="85"/>
      <c r="L17" s="85"/>
      <c r="M17" s="93" t="e">
        <f>#REF!&amp;" "&amp;ContractorPayroll[[#This Row],[Employee ID Number / Code]]</f>
        <v>#REF!</v>
      </c>
      <c r="N17" s="71" t="str">
        <f>_xlfn.IFNA(IF(C17="","",VLOOKUP(ContractorPayroll[[#This Row],[Position / Title]],Lists!I:K,3,FALSE)),"")</f>
        <v/>
      </c>
      <c r="O17" s="42" t="str">
        <f>IF(ContractorPayroll[[#This Row],[Position / Title]]="","",VLOOKUP(ContractorPayroll[[#This Row],[Position / Title]],Lists!I:K,2,FALSE))</f>
        <v/>
      </c>
      <c r="P17" s="22" t="str">
        <f>IF(D17="","",ContractorPayroll[[#This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" s="31">
        <f>IFERROR(IF(ContractorPayroll[[#This Row],[Annual Cost of Wage Increase included in Rate Adjustment]]=0,0,R17*'Facility Info Input'!$F$10),0)</f>
        <v>0</v>
      </c>
      <c r="T17" s="32">
        <f t="shared" si="0"/>
        <v>0</v>
      </c>
      <c r="U17" s="32">
        <f t="shared" si="1"/>
        <v>0</v>
      </c>
      <c r="V17" s="32">
        <f t="shared" si="2"/>
        <v>0</v>
      </c>
      <c r="W17" s="32">
        <f t="shared" si="3"/>
        <v>0</v>
      </c>
    </row>
    <row r="18" spans="1:23">
      <c r="A18" s="77"/>
      <c r="B18" s="76"/>
      <c r="C18" s="77"/>
      <c r="D18" s="81"/>
      <c r="E18" s="82"/>
      <c r="F18" s="82"/>
      <c r="G18" s="83"/>
      <c r="H18" s="84"/>
      <c r="I18" s="85"/>
      <c r="J18" s="85"/>
      <c r="K18" s="85"/>
      <c r="L18" s="85"/>
      <c r="M18" s="93" t="e">
        <f>#REF!&amp;" "&amp;ContractorPayroll[[#This Row],[Employee ID Number / Code]]</f>
        <v>#REF!</v>
      </c>
      <c r="N18" s="71" t="str">
        <f>_xlfn.IFNA(IF(C18="","",VLOOKUP(ContractorPayroll[[#This Row],[Position / Title]],Lists!I:K,3,FALSE)),"")</f>
        <v/>
      </c>
      <c r="O18" s="42" t="str">
        <f>IF(ContractorPayroll[[#This Row],[Position / Title]]="","",VLOOKUP(ContractorPayroll[[#This Row],[Position / Title]],Lists!I:K,2,FALSE))</f>
        <v/>
      </c>
      <c r="P18" s="22" t="str">
        <f>IF(D18="","",ContractorPayroll[[#This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" s="31">
        <f>IFERROR(IF(ContractorPayroll[[#This Row],[Annual Cost of Wage Increase included in Rate Adjustment]]=0,0,R18*'Facility Info Input'!$F$10),0)</f>
        <v>0</v>
      </c>
      <c r="T18" s="32">
        <f t="shared" si="0"/>
        <v>0</v>
      </c>
      <c r="U18" s="32">
        <f t="shared" si="1"/>
        <v>0</v>
      </c>
      <c r="V18" s="32">
        <f t="shared" si="2"/>
        <v>0</v>
      </c>
      <c r="W18" s="32">
        <f t="shared" si="3"/>
        <v>0</v>
      </c>
    </row>
    <row r="19" spans="1:23">
      <c r="A19" s="77"/>
      <c r="B19" s="76"/>
      <c r="C19" s="77"/>
      <c r="D19" s="81"/>
      <c r="E19" s="82"/>
      <c r="F19" s="82"/>
      <c r="G19" s="83"/>
      <c r="H19" s="84"/>
      <c r="I19" s="85"/>
      <c r="J19" s="85"/>
      <c r="K19" s="85"/>
      <c r="L19" s="85"/>
      <c r="M19" s="93" t="e">
        <f>#REF!&amp;" "&amp;ContractorPayroll[[#This Row],[Employee ID Number / Code]]</f>
        <v>#REF!</v>
      </c>
      <c r="N19" s="71" t="str">
        <f>_xlfn.IFNA(IF(C19="","",VLOOKUP(ContractorPayroll[[#This Row],[Position / Title]],Lists!I:K,3,FALSE)),"")</f>
        <v/>
      </c>
      <c r="O19" s="42" t="str">
        <f>IF(ContractorPayroll[[#This Row],[Position / Title]]="","",VLOOKUP(ContractorPayroll[[#This Row],[Position / Title]],Lists!I:K,2,FALSE))</f>
        <v/>
      </c>
      <c r="P19" s="22" t="str">
        <f>IF(D19="","",ContractorPayroll[[#This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" s="31">
        <f>IFERROR(IF(ContractorPayroll[[#This Row],[Annual Cost of Wage Increase included in Rate Adjustment]]=0,0,R19*'Facility Info Input'!$F$10),0)</f>
        <v>0</v>
      </c>
      <c r="T19" s="32">
        <f t="shared" si="0"/>
        <v>0</v>
      </c>
      <c r="U19" s="32">
        <f t="shared" si="1"/>
        <v>0</v>
      </c>
      <c r="V19" s="32">
        <f t="shared" si="2"/>
        <v>0</v>
      </c>
      <c r="W19" s="32">
        <f t="shared" si="3"/>
        <v>0</v>
      </c>
    </row>
    <row r="20" spans="1:23">
      <c r="A20" s="77"/>
      <c r="B20" s="76"/>
      <c r="C20" s="77"/>
      <c r="D20" s="81"/>
      <c r="E20" s="82"/>
      <c r="F20" s="82"/>
      <c r="G20" s="83"/>
      <c r="H20" s="84"/>
      <c r="I20" s="85"/>
      <c r="J20" s="85"/>
      <c r="K20" s="85"/>
      <c r="L20" s="85"/>
      <c r="M20" s="93" t="e">
        <f>#REF!&amp;" "&amp;ContractorPayroll[[#This Row],[Employee ID Number / Code]]</f>
        <v>#REF!</v>
      </c>
      <c r="N20" s="71" t="str">
        <f>_xlfn.IFNA(IF(C20="","",VLOOKUP(ContractorPayroll[[#This Row],[Position / Title]],Lists!I:K,3,FALSE)),"")</f>
        <v/>
      </c>
      <c r="O20" s="42" t="str">
        <f>IF(ContractorPayroll[[#This Row],[Position / Title]]="","",VLOOKUP(ContractorPayroll[[#This Row],[Position / Title]],Lists!I:K,2,FALSE))</f>
        <v/>
      </c>
      <c r="P20" s="22" t="str">
        <f>IF(D20="","",ContractorPayroll[[#This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" s="31">
        <f>IFERROR(IF(ContractorPayroll[[#This Row],[Annual Cost of Wage Increase included in Rate Adjustment]]=0,0,R20*'Facility Info Input'!$F$10),0)</f>
        <v>0</v>
      </c>
      <c r="T20" s="32">
        <f t="shared" si="0"/>
        <v>0</v>
      </c>
      <c r="U20" s="32">
        <f t="shared" si="1"/>
        <v>0</v>
      </c>
      <c r="V20" s="32">
        <f t="shared" si="2"/>
        <v>0</v>
      </c>
      <c r="W20" s="32">
        <f t="shared" si="3"/>
        <v>0</v>
      </c>
    </row>
    <row r="21" spans="1:23">
      <c r="A21" s="77"/>
      <c r="B21" s="76"/>
      <c r="C21" s="77"/>
      <c r="D21" s="81"/>
      <c r="E21" s="82"/>
      <c r="F21" s="82"/>
      <c r="G21" s="83"/>
      <c r="H21" s="84"/>
      <c r="I21" s="85"/>
      <c r="J21" s="85"/>
      <c r="K21" s="85"/>
      <c r="L21" s="85"/>
      <c r="M21" s="93" t="e">
        <f>#REF!&amp;" "&amp;ContractorPayroll[[#This Row],[Employee ID Number / Code]]</f>
        <v>#REF!</v>
      </c>
      <c r="N21" s="71" t="str">
        <f>_xlfn.IFNA(IF(C21="","",VLOOKUP(ContractorPayroll[[#This Row],[Position / Title]],Lists!I:K,3,FALSE)),"")</f>
        <v/>
      </c>
      <c r="O21" s="42" t="str">
        <f>IF(ContractorPayroll[[#This Row],[Position / Title]]="","",VLOOKUP(ContractorPayroll[[#This Row],[Position / Title]],Lists!I:K,2,FALSE))</f>
        <v/>
      </c>
      <c r="P21" s="22" t="str">
        <f>IF(D21="","",ContractorPayroll[[#This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" s="31">
        <f>IFERROR(IF(ContractorPayroll[[#This Row],[Annual Cost of Wage Increase included in Rate Adjustment]]=0,0,R21*'Facility Info Input'!$F$10),0)</f>
        <v>0</v>
      </c>
      <c r="T21" s="32">
        <f t="shared" si="0"/>
        <v>0</v>
      </c>
      <c r="U21" s="32">
        <f t="shared" si="1"/>
        <v>0</v>
      </c>
      <c r="V21" s="32">
        <f t="shared" si="2"/>
        <v>0</v>
      </c>
      <c r="W21" s="32">
        <f t="shared" si="3"/>
        <v>0</v>
      </c>
    </row>
    <row r="22" spans="1:23">
      <c r="A22" s="77"/>
      <c r="B22" s="76"/>
      <c r="C22" s="77"/>
      <c r="D22" s="81"/>
      <c r="E22" s="82"/>
      <c r="F22" s="82"/>
      <c r="G22" s="83"/>
      <c r="H22" s="84"/>
      <c r="I22" s="85"/>
      <c r="J22" s="85"/>
      <c r="K22" s="85"/>
      <c r="L22" s="85"/>
      <c r="M22" s="93" t="e">
        <f>#REF!&amp;" "&amp;ContractorPayroll[[#This Row],[Employee ID Number / Code]]</f>
        <v>#REF!</v>
      </c>
      <c r="N22" s="71" t="str">
        <f>_xlfn.IFNA(IF(C22="","",VLOOKUP(ContractorPayroll[[#This Row],[Position / Title]],Lists!I:K,3,FALSE)),"")</f>
        <v/>
      </c>
      <c r="O22" s="42" t="str">
        <f>IF(ContractorPayroll[[#This Row],[Position / Title]]="","",VLOOKUP(ContractorPayroll[[#This Row],[Position / Title]],Lists!I:K,2,FALSE))</f>
        <v/>
      </c>
      <c r="P22" s="22" t="str">
        <f>IF(D22="","",ContractorPayroll[[#This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" s="31">
        <f>IFERROR(IF(ContractorPayroll[[#This Row],[Annual Cost of Wage Increase included in Rate Adjustment]]=0,0,R22*'Facility Info Input'!$F$10),0)</f>
        <v>0</v>
      </c>
      <c r="T22" s="32">
        <f t="shared" si="0"/>
        <v>0</v>
      </c>
      <c r="U22" s="32">
        <f t="shared" si="1"/>
        <v>0</v>
      </c>
      <c r="V22" s="32">
        <f t="shared" si="2"/>
        <v>0</v>
      </c>
      <c r="W22" s="32">
        <f t="shared" si="3"/>
        <v>0</v>
      </c>
    </row>
    <row r="23" spans="1:23">
      <c r="A23" s="77"/>
      <c r="B23" s="76"/>
      <c r="C23" s="77"/>
      <c r="D23" s="81"/>
      <c r="E23" s="82"/>
      <c r="F23" s="82"/>
      <c r="G23" s="83"/>
      <c r="H23" s="84"/>
      <c r="I23" s="85"/>
      <c r="J23" s="85"/>
      <c r="K23" s="85"/>
      <c r="L23" s="85"/>
      <c r="M23" s="93" t="e">
        <f>#REF!&amp;" "&amp;ContractorPayroll[[#This Row],[Employee ID Number / Code]]</f>
        <v>#REF!</v>
      </c>
      <c r="N23" s="71" t="str">
        <f>_xlfn.IFNA(IF(C23="","",VLOOKUP(ContractorPayroll[[#This Row],[Position / Title]],Lists!I:K,3,FALSE)),"")</f>
        <v/>
      </c>
      <c r="O23" s="42" t="str">
        <f>IF(ContractorPayroll[[#This Row],[Position / Title]]="","",VLOOKUP(ContractorPayroll[[#This Row],[Position / Title]],Lists!I:K,2,FALSE))</f>
        <v/>
      </c>
      <c r="P23" s="22" t="str">
        <f>IF(D23="","",ContractorPayroll[[#This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" s="31">
        <f>IFERROR(IF(ContractorPayroll[[#This Row],[Annual Cost of Wage Increase included in Rate Adjustment]]=0,0,R23*'Facility Info Input'!$F$10),0)</f>
        <v>0</v>
      </c>
      <c r="T23" s="32">
        <f t="shared" si="0"/>
        <v>0</v>
      </c>
      <c r="U23" s="32">
        <f t="shared" si="1"/>
        <v>0</v>
      </c>
      <c r="V23" s="32">
        <f t="shared" si="2"/>
        <v>0</v>
      </c>
      <c r="W23" s="32">
        <f t="shared" si="3"/>
        <v>0</v>
      </c>
    </row>
    <row r="24" spans="1:23">
      <c r="A24" s="77"/>
      <c r="B24" s="76"/>
      <c r="C24" s="77"/>
      <c r="D24" s="81"/>
      <c r="E24" s="82"/>
      <c r="F24" s="82"/>
      <c r="G24" s="83"/>
      <c r="H24" s="84"/>
      <c r="I24" s="85"/>
      <c r="J24" s="85"/>
      <c r="K24" s="85"/>
      <c r="L24" s="85"/>
      <c r="M24" s="93" t="e">
        <f>#REF!&amp;" "&amp;ContractorPayroll[[#This Row],[Employee ID Number / Code]]</f>
        <v>#REF!</v>
      </c>
      <c r="N24" s="71" t="str">
        <f>_xlfn.IFNA(IF(C24="","",VLOOKUP(ContractorPayroll[[#This Row],[Position / Title]],Lists!I:K,3,FALSE)),"")</f>
        <v/>
      </c>
      <c r="O24" s="42" t="str">
        <f>IF(ContractorPayroll[[#This Row],[Position / Title]]="","",VLOOKUP(ContractorPayroll[[#This Row],[Position / Title]],Lists!I:K,2,FALSE))</f>
        <v/>
      </c>
      <c r="P24" s="22" t="str">
        <f>IF(D24="","",ContractorPayroll[[#This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" s="31">
        <f>IFERROR(IF(ContractorPayroll[[#This Row],[Annual Cost of Wage Increase included in Rate Adjustment]]=0,0,R24*'Facility Info Input'!$F$10),0)</f>
        <v>0</v>
      </c>
      <c r="T24" s="32">
        <f t="shared" si="0"/>
        <v>0</v>
      </c>
      <c r="U24" s="32">
        <f t="shared" si="1"/>
        <v>0</v>
      </c>
      <c r="V24" s="32">
        <f t="shared" si="2"/>
        <v>0</v>
      </c>
      <c r="W24" s="32">
        <f t="shared" si="3"/>
        <v>0</v>
      </c>
    </row>
    <row r="25" spans="1:23">
      <c r="A25" s="77"/>
      <c r="B25" s="76"/>
      <c r="C25" s="77"/>
      <c r="D25" s="81"/>
      <c r="E25" s="82"/>
      <c r="F25" s="82"/>
      <c r="G25" s="83"/>
      <c r="H25" s="84"/>
      <c r="I25" s="85"/>
      <c r="J25" s="85"/>
      <c r="K25" s="85"/>
      <c r="L25" s="85"/>
      <c r="M25" s="93" t="e">
        <f>#REF!&amp;" "&amp;ContractorPayroll[[#This Row],[Employee ID Number / Code]]</f>
        <v>#REF!</v>
      </c>
      <c r="N25" s="71" t="str">
        <f>_xlfn.IFNA(IF(C25="","",VLOOKUP(ContractorPayroll[[#This Row],[Position / Title]],Lists!I:K,3,FALSE)),"")</f>
        <v/>
      </c>
      <c r="O25" s="42" t="str">
        <f>IF(ContractorPayroll[[#This Row],[Position / Title]]="","",VLOOKUP(ContractorPayroll[[#This Row],[Position / Title]],Lists!I:K,2,FALSE))</f>
        <v/>
      </c>
      <c r="P25" s="22" t="str">
        <f>IF(D25="","",ContractorPayroll[[#This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" s="31">
        <f>IFERROR(IF(ContractorPayroll[[#This Row],[Annual Cost of Wage Increase included in Rate Adjustment]]=0,0,R25*'Facility Info Input'!$F$10),0)</f>
        <v>0</v>
      </c>
      <c r="T25" s="32">
        <f t="shared" si="0"/>
        <v>0</v>
      </c>
      <c r="U25" s="32">
        <f t="shared" si="1"/>
        <v>0</v>
      </c>
      <c r="V25" s="32">
        <f t="shared" si="2"/>
        <v>0</v>
      </c>
      <c r="W25" s="32">
        <f t="shared" si="3"/>
        <v>0</v>
      </c>
    </row>
    <row r="26" spans="1:23">
      <c r="A26" s="77"/>
      <c r="B26" s="76"/>
      <c r="C26" s="77"/>
      <c r="D26" s="81"/>
      <c r="E26" s="82"/>
      <c r="F26" s="82"/>
      <c r="G26" s="83"/>
      <c r="H26" s="84"/>
      <c r="I26" s="85"/>
      <c r="J26" s="85"/>
      <c r="K26" s="85"/>
      <c r="L26" s="85"/>
      <c r="M26" s="93" t="e">
        <f>#REF!&amp;" "&amp;ContractorPayroll[[#This Row],[Employee ID Number / Code]]</f>
        <v>#REF!</v>
      </c>
      <c r="N26" s="71" t="str">
        <f>_xlfn.IFNA(IF(C26="","",VLOOKUP(ContractorPayroll[[#This Row],[Position / Title]],Lists!I:K,3,FALSE)),"")</f>
        <v/>
      </c>
      <c r="O26" s="42" t="str">
        <f>IF(ContractorPayroll[[#This Row],[Position / Title]]="","",VLOOKUP(ContractorPayroll[[#This Row],[Position / Title]],Lists!I:K,2,FALSE))</f>
        <v/>
      </c>
      <c r="P26" s="22" t="str">
        <f>IF(D26="","",ContractorPayroll[[#This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" s="31">
        <f>IFERROR(IF(ContractorPayroll[[#This Row],[Annual Cost of Wage Increase included in Rate Adjustment]]=0,0,R26*'Facility Info Input'!$F$10),0)</f>
        <v>0</v>
      </c>
      <c r="T26" s="32">
        <f t="shared" si="0"/>
        <v>0</v>
      </c>
      <c r="U26" s="32">
        <f t="shared" si="1"/>
        <v>0</v>
      </c>
      <c r="V26" s="32">
        <f t="shared" si="2"/>
        <v>0</v>
      </c>
      <c r="W26" s="32">
        <f t="shared" si="3"/>
        <v>0</v>
      </c>
    </row>
    <row r="27" spans="1:23">
      <c r="A27" s="77"/>
      <c r="B27" s="76"/>
      <c r="C27" s="77"/>
      <c r="D27" s="81"/>
      <c r="E27" s="82"/>
      <c r="F27" s="82"/>
      <c r="G27" s="83"/>
      <c r="H27" s="84"/>
      <c r="I27" s="85"/>
      <c r="J27" s="85"/>
      <c r="K27" s="85"/>
      <c r="L27" s="85"/>
      <c r="M27" s="93" t="e">
        <f>#REF!&amp;" "&amp;ContractorPayroll[[#This Row],[Employee ID Number / Code]]</f>
        <v>#REF!</v>
      </c>
      <c r="N27" s="71" t="str">
        <f>_xlfn.IFNA(IF(C27="","",VLOOKUP(ContractorPayroll[[#This Row],[Position / Title]],Lists!I:K,3,FALSE)),"")</f>
        <v/>
      </c>
      <c r="O27" s="42" t="str">
        <f>IF(ContractorPayroll[[#This Row],[Position / Title]]="","",VLOOKUP(ContractorPayroll[[#This Row],[Position / Title]],Lists!I:K,2,FALSE))</f>
        <v/>
      </c>
      <c r="P27" s="22" t="str">
        <f>IF(D27="","",ContractorPayroll[[#This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" s="31">
        <f>IFERROR(IF(ContractorPayroll[[#This Row],[Annual Cost of Wage Increase included in Rate Adjustment]]=0,0,R27*'Facility Info Input'!$F$10),0)</f>
        <v>0</v>
      </c>
      <c r="T27" s="32">
        <f t="shared" si="0"/>
        <v>0</v>
      </c>
      <c r="U27" s="32">
        <f t="shared" si="1"/>
        <v>0</v>
      </c>
      <c r="V27" s="32">
        <f t="shared" si="2"/>
        <v>0</v>
      </c>
      <c r="W27" s="32">
        <f t="shared" si="3"/>
        <v>0</v>
      </c>
    </row>
    <row r="28" spans="1:23">
      <c r="A28" s="77"/>
      <c r="B28" s="76"/>
      <c r="C28" s="77"/>
      <c r="D28" s="81"/>
      <c r="E28" s="82"/>
      <c r="F28" s="82"/>
      <c r="G28" s="83"/>
      <c r="H28" s="84"/>
      <c r="I28" s="85"/>
      <c r="J28" s="85"/>
      <c r="K28" s="85"/>
      <c r="L28" s="85"/>
      <c r="M28" s="93" t="e">
        <f>#REF!&amp;" "&amp;ContractorPayroll[[#This Row],[Employee ID Number / Code]]</f>
        <v>#REF!</v>
      </c>
      <c r="N28" s="71" t="str">
        <f>_xlfn.IFNA(IF(C28="","",VLOOKUP(ContractorPayroll[[#This Row],[Position / Title]],Lists!I:K,3,FALSE)),"")</f>
        <v/>
      </c>
      <c r="O28" s="42" t="str">
        <f>IF(ContractorPayroll[[#This Row],[Position / Title]]="","",VLOOKUP(ContractorPayroll[[#This Row],[Position / Title]],Lists!I:K,2,FALSE))</f>
        <v/>
      </c>
      <c r="P28" s="22" t="str">
        <f>IF(D28="","",ContractorPayroll[[#This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" s="31">
        <f>IFERROR(IF(ContractorPayroll[[#This Row],[Annual Cost of Wage Increase included in Rate Adjustment]]=0,0,R28*'Facility Info Input'!$F$10),0)</f>
        <v>0</v>
      </c>
      <c r="T28" s="32">
        <f t="shared" si="0"/>
        <v>0</v>
      </c>
      <c r="U28" s="32">
        <f t="shared" si="1"/>
        <v>0</v>
      </c>
      <c r="V28" s="32">
        <f t="shared" si="2"/>
        <v>0</v>
      </c>
      <c r="W28" s="32">
        <f t="shared" si="3"/>
        <v>0</v>
      </c>
    </row>
    <row r="29" spans="1:23">
      <c r="A29" s="77"/>
      <c r="B29" s="76"/>
      <c r="C29" s="77"/>
      <c r="D29" s="81"/>
      <c r="E29" s="82"/>
      <c r="F29" s="82"/>
      <c r="G29" s="83"/>
      <c r="H29" s="84"/>
      <c r="I29" s="85"/>
      <c r="J29" s="85"/>
      <c r="K29" s="85"/>
      <c r="L29" s="85"/>
      <c r="M29" s="93" t="e">
        <f>#REF!&amp;" "&amp;ContractorPayroll[[#This Row],[Employee ID Number / Code]]</f>
        <v>#REF!</v>
      </c>
      <c r="N29" s="71" t="str">
        <f>_xlfn.IFNA(IF(C29="","",VLOOKUP(ContractorPayroll[[#This Row],[Position / Title]],Lists!I:K,3,FALSE)),"")</f>
        <v/>
      </c>
      <c r="O29" s="42" t="str">
        <f>IF(ContractorPayroll[[#This Row],[Position / Title]]="","",VLOOKUP(ContractorPayroll[[#This Row],[Position / Title]],Lists!I:K,2,FALSE))</f>
        <v/>
      </c>
      <c r="P29" s="22" t="str">
        <f>IF(D29="","",ContractorPayroll[[#This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" s="31">
        <f>IFERROR(IF(ContractorPayroll[[#This Row],[Annual Cost of Wage Increase included in Rate Adjustment]]=0,0,R29*'Facility Info Input'!$F$10),0)</f>
        <v>0</v>
      </c>
      <c r="T29" s="32">
        <f t="shared" si="0"/>
        <v>0</v>
      </c>
      <c r="U29" s="32">
        <f t="shared" si="1"/>
        <v>0</v>
      </c>
      <c r="V29" s="32">
        <f t="shared" si="2"/>
        <v>0</v>
      </c>
      <c r="W29" s="32">
        <f t="shared" si="3"/>
        <v>0</v>
      </c>
    </row>
    <row r="30" spans="1:23">
      <c r="A30" s="77"/>
      <c r="B30" s="76"/>
      <c r="C30" s="77"/>
      <c r="D30" s="81"/>
      <c r="E30" s="82"/>
      <c r="F30" s="82"/>
      <c r="G30" s="83"/>
      <c r="H30" s="84"/>
      <c r="I30" s="85"/>
      <c r="J30" s="85"/>
      <c r="K30" s="85"/>
      <c r="L30" s="85"/>
      <c r="M30" s="93" t="e">
        <f>#REF!&amp;" "&amp;ContractorPayroll[[#This Row],[Employee ID Number / Code]]</f>
        <v>#REF!</v>
      </c>
      <c r="N30" s="71" t="str">
        <f>_xlfn.IFNA(IF(C30="","",VLOOKUP(ContractorPayroll[[#This Row],[Position / Title]],Lists!I:K,3,FALSE)),"")</f>
        <v/>
      </c>
      <c r="O30" s="42" t="str">
        <f>IF(ContractorPayroll[[#This Row],[Position / Title]]="","",VLOOKUP(ContractorPayroll[[#This Row],[Position / Title]],Lists!I:K,2,FALSE))</f>
        <v/>
      </c>
      <c r="P30" s="22" t="str">
        <f>IF(D30="","",ContractorPayroll[[#This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" s="31">
        <f>IFERROR(IF(ContractorPayroll[[#This Row],[Annual Cost of Wage Increase included in Rate Adjustment]]=0,0,R30*'Facility Info Input'!$F$10),0)</f>
        <v>0</v>
      </c>
      <c r="T30" s="32">
        <f t="shared" si="0"/>
        <v>0</v>
      </c>
      <c r="U30" s="32">
        <f t="shared" si="1"/>
        <v>0</v>
      </c>
      <c r="V30" s="32">
        <f t="shared" si="2"/>
        <v>0</v>
      </c>
      <c r="W30" s="32">
        <f t="shared" si="3"/>
        <v>0</v>
      </c>
    </row>
    <row r="31" spans="1:23">
      <c r="A31" s="77"/>
      <c r="B31" s="76"/>
      <c r="C31" s="77"/>
      <c r="D31" s="81"/>
      <c r="E31" s="82"/>
      <c r="F31" s="82"/>
      <c r="G31" s="83"/>
      <c r="H31" s="84"/>
      <c r="I31" s="85"/>
      <c r="J31" s="85"/>
      <c r="K31" s="85"/>
      <c r="L31" s="85"/>
      <c r="M31" s="93" t="e">
        <f>#REF!&amp;" "&amp;ContractorPayroll[[#This Row],[Employee ID Number / Code]]</f>
        <v>#REF!</v>
      </c>
      <c r="N31" s="71" t="str">
        <f>_xlfn.IFNA(IF(C31="","",VLOOKUP(ContractorPayroll[[#This Row],[Position / Title]],Lists!I:K,3,FALSE)),"")</f>
        <v/>
      </c>
      <c r="O31" s="42" t="str">
        <f>IF(ContractorPayroll[[#This Row],[Position / Title]]="","",VLOOKUP(ContractorPayroll[[#This Row],[Position / Title]],Lists!I:K,2,FALSE))</f>
        <v/>
      </c>
      <c r="P31" s="22" t="str">
        <f>IF(D31="","",ContractorPayroll[[#This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" s="31">
        <f>IFERROR(IF(ContractorPayroll[[#This Row],[Annual Cost of Wage Increase included in Rate Adjustment]]=0,0,R31*'Facility Info Input'!$F$10),0)</f>
        <v>0</v>
      </c>
      <c r="T31" s="32">
        <f t="shared" si="0"/>
        <v>0</v>
      </c>
      <c r="U31" s="32">
        <f t="shared" si="1"/>
        <v>0</v>
      </c>
      <c r="V31" s="32">
        <f t="shared" si="2"/>
        <v>0</v>
      </c>
      <c r="W31" s="32">
        <f t="shared" si="3"/>
        <v>0</v>
      </c>
    </row>
    <row r="32" spans="1:23">
      <c r="A32" s="77"/>
      <c r="B32" s="76"/>
      <c r="C32" s="77"/>
      <c r="D32" s="81"/>
      <c r="E32" s="82"/>
      <c r="F32" s="82"/>
      <c r="G32" s="83"/>
      <c r="H32" s="84"/>
      <c r="I32" s="85"/>
      <c r="J32" s="85"/>
      <c r="K32" s="85"/>
      <c r="L32" s="85"/>
      <c r="M32" s="93" t="e">
        <f>#REF!&amp;" "&amp;ContractorPayroll[[#This Row],[Employee ID Number / Code]]</f>
        <v>#REF!</v>
      </c>
      <c r="N32" s="71" t="str">
        <f>_xlfn.IFNA(IF(C32="","",VLOOKUP(ContractorPayroll[[#This Row],[Position / Title]],Lists!I:K,3,FALSE)),"")</f>
        <v/>
      </c>
      <c r="O32" s="42" t="str">
        <f>IF(ContractorPayroll[[#This Row],[Position / Title]]="","",VLOOKUP(ContractorPayroll[[#This Row],[Position / Title]],Lists!I:K,2,FALSE))</f>
        <v/>
      </c>
      <c r="P32" s="22" t="str">
        <f>IF(D32="","",ContractorPayroll[[#This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" s="31">
        <f>IFERROR(IF(ContractorPayroll[[#This Row],[Annual Cost of Wage Increase included in Rate Adjustment]]=0,0,R32*'Facility Info Input'!$F$10),0)</f>
        <v>0</v>
      </c>
      <c r="T32" s="32">
        <f t="shared" si="0"/>
        <v>0</v>
      </c>
      <c r="U32" s="32">
        <f t="shared" si="1"/>
        <v>0</v>
      </c>
      <c r="V32" s="32">
        <f t="shared" si="2"/>
        <v>0</v>
      </c>
      <c r="W32" s="32">
        <f t="shared" si="3"/>
        <v>0</v>
      </c>
    </row>
    <row r="33" spans="1:23">
      <c r="A33" s="77"/>
      <c r="B33" s="76"/>
      <c r="C33" s="77"/>
      <c r="D33" s="81"/>
      <c r="E33" s="82"/>
      <c r="F33" s="82"/>
      <c r="G33" s="83"/>
      <c r="H33" s="84"/>
      <c r="I33" s="85"/>
      <c r="J33" s="85"/>
      <c r="K33" s="85"/>
      <c r="L33" s="85"/>
      <c r="M33" s="93" t="e">
        <f>#REF!&amp;" "&amp;ContractorPayroll[[#This Row],[Employee ID Number / Code]]</f>
        <v>#REF!</v>
      </c>
      <c r="N33" s="71" t="str">
        <f>_xlfn.IFNA(IF(C33="","",VLOOKUP(ContractorPayroll[[#This Row],[Position / Title]],Lists!I:K,3,FALSE)),"")</f>
        <v/>
      </c>
      <c r="O33" s="42" t="str">
        <f>IF(ContractorPayroll[[#This Row],[Position / Title]]="","",VLOOKUP(ContractorPayroll[[#This Row],[Position / Title]],Lists!I:K,2,FALSE))</f>
        <v/>
      </c>
      <c r="P33" s="22" t="str">
        <f>IF(D33="","",ContractorPayroll[[#This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" s="31">
        <f>IFERROR(IF(ContractorPayroll[[#This Row],[Annual Cost of Wage Increase included in Rate Adjustment]]=0,0,R33*'Facility Info Input'!$F$10),0)</f>
        <v>0</v>
      </c>
      <c r="T33" s="32">
        <f t="shared" si="0"/>
        <v>0</v>
      </c>
      <c r="U33" s="32">
        <f t="shared" si="1"/>
        <v>0</v>
      </c>
      <c r="V33" s="32">
        <f t="shared" si="2"/>
        <v>0</v>
      </c>
      <c r="W33" s="32">
        <f t="shared" si="3"/>
        <v>0</v>
      </c>
    </row>
    <row r="34" spans="1:23">
      <c r="A34" s="77"/>
      <c r="B34" s="76"/>
      <c r="C34" s="77"/>
      <c r="D34" s="81"/>
      <c r="E34" s="82"/>
      <c r="F34" s="82"/>
      <c r="G34" s="83"/>
      <c r="H34" s="84"/>
      <c r="I34" s="85"/>
      <c r="J34" s="85"/>
      <c r="K34" s="85"/>
      <c r="L34" s="85"/>
      <c r="M34" s="93" t="e">
        <f>#REF!&amp;" "&amp;ContractorPayroll[[#This Row],[Employee ID Number / Code]]</f>
        <v>#REF!</v>
      </c>
      <c r="N34" s="71" t="str">
        <f>_xlfn.IFNA(IF(C34="","",VLOOKUP(ContractorPayroll[[#This Row],[Position / Title]],Lists!I:K,3,FALSE)),"")</f>
        <v/>
      </c>
      <c r="O34" s="42" t="str">
        <f>IF(ContractorPayroll[[#This Row],[Position / Title]]="","",VLOOKUP(ContractorPayroll[[#This Row],[Position / Title]],Lists!I:K,2,FALSE))</f>
        <v/>
      </c>
      <c r="P34" s="22" t="str">
        <f>IF(D34="","",ContractorPayroll[[#This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" s="31">
        <f>IFERROR(IF(ContractorPayroll[[#This Row],[Annual Cost of Wage Increase included in Rate Adjustment]]=0,0,R34*'Facility Info Input'!$F$10),0)</f>
        <v>0</v>
      </c>
      <c r="T34" s="32">
        <f t="shared" si="0"/>
        <v>0</v>
      </c>
      <c r="U34" s="32">
        <f t="shared" si="1"/>
        <v>0</v>
      </c>
      <c r="V34" s="32">
        <f t="shared" si="2"/>
        <v>0</v>
      </c>
      <c r="W34" s="32">
        <f t="shared" si="3"/>
        <v>0</v>
      </c>
    </row>
    <row r="35" spans="1:23">
      <c r="A35" s="77"/>
      <c r="B35" s="76"/>
      <c r="C35" s="77"/>
      <c r="D35" s="81"/>
      <c r="E35" s="82"/>
      <c r="F35" s="82"/>
      <c r="G35" s="83"/>
      <c r="H35" s="84"/>
      <c r="I35" s="85"/>
      <c r="J35" s="85"/>
      <c r="K35" s="85"/>
      <c r="L35" s="85"/>
      <c r="M35" s="93" t="e">
        <f>#REF!&amp;" "&amp;ContractorPayroll[[#This Row],[Employee ID Number / Code]]</f>
        <v>#REF!</v>
      </c>
      <c r="N35" s="71" t="str">
        <f>_xlfn.IFNA(IF(C35="","",VLOOKUP(ContractorPayroll[[#This Row],[Position / Title]],Lists!I:K,3,FALSE)),"")</f>
        <v/>
      </c>
      <c r="O35" s="42" t="str">
        <f>IF(ContractorPayroll[[#This Row],[Position / Title]]="","",VLOOKUP(ContractorPayroll[[#This Row],[Position / Title]],Lists!I:K,2,FALSE))</f>
        <v/>
      </c>
      <c r="P35" s="22" t="str">
        <f>IF(D35="","",ContractorPayroll[[#This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" s="31">
        <f>IFERROR(IF(ContractorPayroll[[#This Row],[Annual Cost of Wage Increase included in Rate Adjustment]]=0,0,R35*'Facility Info Input'!$F$10),0)</f>
        <v>0</v>
      </c>
      <c r="T35" s="32">
        <f t="shared" si="0"/>
        <v>0</v>
      </c>
      <c r="U35" s="32">
        <f t="shared" si="1"/>
        <v>0</v>
      </c>
      <c r="V35" s="32">
        <f t="shared" si="2"/>
        <v>0</v>
      </c>
      <c r="W35" s="32">
        <f t="shared" si="3"/>
        <v>0</v>
      </c>
    </row>
    <row r="36" spans="1:23">
      <c r="A36" s="77"/>
      <c r="B36" s="76"/>
      <c r="C36" s="77"/>
      <c r="D36" s="81"/>
      <c r="E36" s="82"/>
      <c r="F36" s="82"/>
      <c r="G36" s="83"/>
      <c r="H36" s="84"/>
      <c r="I36" s="85"/>
      <c r="J36" s="85"/>
      <c r="K36" s="85"/>
      <c r="L36" s="85"/>
      <c r="M36" s="93" t="e">
        <f>#REF!&amp;" "&amp;ContractorPayroll[[#This Row],[Employee ID Number / Code]]</f>
        <v>#REF!</v>
      </c>
      <c r="N36" s="71" t="str">
        <f>_xlfn.IFNA(IF(C36="","",VLOOKUP(ContractorPayroll[[#This Row],[Position / Title]],Lists!I:K,3,FALSE)),"")</f>
        <v/>
      </c>
      <c r="O36" s="42" t="str">
        <f>IF(ContractorPayroll[[#This Row],[Position / Title]]="","",VLOOKUP(ContractorPayroll[[#This Row],[Position / Title]],Lists!I:K,2,FALSE))</f>
        <v/>
      </c>
      <c r="P36" s="22" t="str">
        <f>IF(D36="","",ContractorPayroll[[#This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" s="31">
        <f>IFERROR(IF(ContractorPayroll[[#This Row],[Annual Cost of Wage Increase included in Rate Adjustment]]=0,0,R36*'Facility Info Input'!$F$10),0)</f>
        <v>0</v>
      </c>
      <c r="T36" s="32">
        <f t="shared" si="0"/>
        <v>0</v>
      </c>
      <c r="U36" s="32">
        <f t="shared" si="1"/>
        <v>0</v>
      </c>
      <c r="V36" s="32">
        <f t="shared" si="2"/>
        <v>0</v>
      </c>
      <c r="W36" s="32">
        <f t="shared" si="3"/>
        <v>0</v>
      </c>
    </row>
    <row r="37" spans="1:23">
      <c r="A37" s="77"/>
      <c r="B37" s="76"/>
      <c r="C37" s="77"/>
      <c r="D37" s="81"/>
      <c r="E37" s="82"/>
      <c r="F37" s="82"/>
      <c r="G37" s="83"/>
      <c r="H37" s="84"/>
      <c r="I37" s="85"/>
      <c r="J37" s="85"/>
      <c r="K37" s="85"/>
      <c r="L37" s="85"/>
      <c r="M37" s="93" t="e">
        <f>#REF!&amp;" "&amp;ContractorPayroll[[#This Row],[Employee ID Number / Code]]</f>
        <v>#REF!</v>
      </c>
      <c r="N37" s="71" t="str">
        <f>_xlfn.IFNA(IF(C37="","",VLOOKUP(ContractorPayroll[[#This Row],[Position / Title]],Lists!I:K,3,FALSE)),"")</f>
        <v/>
      </c>
      <c r="O37" s="42" t="str">
        <f>IF(ContractorPayroll[[#This Row],[Position / Title]]="","",VLOOKUP(ContractorPayroll[[#This Row],[Position / Title]],Lists!I:K,2,FALSE))</f>
        <v/>
      </c>
      <c r="P37" s="22" t="str">
        <f>IF(D37="","",ContractorPayroll[[#This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" s="31">
        <f>IFERROR(IF(ContractorPayroll[[#This Row],[Annual Cost of Wage Increase included in Rate Adjustment]]=0,0,R37*'Facility Info Input'!$F$10),0)</f>
        <v>0</v>
      </c>
      <c r="T37" s="32">
        <f t="shared" si="0"/>
        <v>0</v>
      </c>
      <c r="U37" s="32">
        <f t="shared" si="1"/>
        <v>0</v>
      </c>
      <c r="V37" s="32">
        <f t="shared" si="2"/>
        <v>0</v>
      </c>
      <c r="W37" s="32">
        <f t="shared" si="3"/>
        <v>0</v>
      </c>
    </row>
    <row r="38" spans="1:23">
      <c r="A38" s="77"/>
      <c r="B38" s="76"/>
      <c r="C38" s="77"/>
      <c r="D38" s="81"/>
      <c r="E38" s="82"/>
      <c r="F38" s="82"/>
      <c r="G38" s="83"/>
      <c r="H38" s="84"/>
      <c r="I38" s="85"/>
      <c r="J38" s="85"/>
      <c r="K38" s="85"/>
      <c r="L38" s="85"/>
      <c r="M38" s="93" t="e">
        <f>#REF!&amp;" "&amp;ContractorPayroll[[#This Row],[Employee ID Number / Code]]</f>
        <v>#REF!</v>
      </c>
      <c r="N38" s="71" t="str">
        <f>_xlfn.IFNA(IF(C38="","",VLOOKUP(ContractorPayroll[[#This Row],[Position / Title]],Lists!I:K,3,FALSE)),"")</f>
        <v/>
      </c>
      <c r="O38" s="42" t="str">
        <f>IF(ContractorPayroll[[#This Row],[Position / Title]]="","",VLOOKUP(ContractorPayroll[[#This Row],[Position / Title]],Lists!I:K,2,FALSE))</f>
        <v/>
      </c>
      <c r="P38" s="22" t="str">
        <f>IF(D38="","",ContractorPayroll[[#This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" s="31">
        <f>IFERROR(IF(ContractorPayroll[[#This Row],[Annual Cost of Wage Increase included in Rate Adjustment]]=0,0,R38*'Facility Info Input'!$F$10),0)</f>
        <v>0</v>
      </c>
      <c r="T38" s="32">
        <f t="shared" si="0"/>
        <v>0</v>
      </c>
      <c r="U38" s="32">
        <f t="shared" si="1"/>
        <v>0</v>
      </c>
      <c r="V38" s="32">
        <f t="shared" si="2"/>
        <v>0</v>
      </c>
      <c r="W38" s="32">
        <f t="shared" si="3"/>
        <v>0</v>
      </c>
    </row>
    <row r="39" spans="1:23">
      <c r="A39" s="77"/>
      <c r="B39" s="76"/>
      <c r="C39" s="77"/>
      <c r="D39" s="81"/>
      <c r="E39" s="82"/>
      <c r="F39" s="82"/>
      <c r="G39" s="83"/>
      <c r="H39" s="84"/>
      <c r="I39" s="85"/>
      <c r="J39" s="85"/>
      <c r="K39" s="85"/>
      <c r="L39" s="85"/>
      <c r="M39" s="93" t="e">
        <f>#REF!&amp;" "&amp;ContractorPayroll[[#This Row],[Employee ID Number / Code]]</f>
        <v>#REF!</v>
      </c>
      <c r="N39" s="71" t="str">
        <f>_xlfn.IFNA(IF(C39="","",VLOOKUP(ContractorPayroll[[#This Row],[Position / Title]],Lists!I:K,3,FALSE)),"")</f>
        <v/>
      </c>
      <c r="O39" s="42" t="str">
        <f>IF(ContractorPayroll[[#This Row],[Position / Title]]="","",VLOOKUP(ContractorPayroll[[#This Row],[Position / Title]],Lists!I:K,2,FALSE))</f>
        <v/>
      </c>
      <c r="P39" s="22" t="str">
        <f>IF(D39="","",ContractorPayroll[[#This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" s="31">
        <f>IFERROR(IF(ContractorPayroll[[#This Row],[Annual Cost of Wage Increase included in Rate Adjustment]]=0,0,R39*'Facility Info Input'!$F$10),0)</f>
        <v>0</v>
      </c>
      <c r="T39" s="32">
        <f t="shared" si="0"/>
        <v>0</v>
      </c>
      <c r="U39" s="32">
        <f t="shared" si="1"/>
        <v>0</v>
      </c>
      <c r="V39" s="32">
        <f t="shared" si="2"/>
        <v>0</v>
      </c>
      <c r="W39" s="32">
        <f t="shared" si="3"/>
        <v>0</v>
      </c>
    </row>
    <row r="40" spans="1:23">
      <c r="A40" s="77"/>
      <c r="B40" s="76"/>
      <c r="C40" s="77"/>
      <c r="D40" s="81"/>
      <c r="E40" s="82"/>
      <c r="F40" s="82"/>
      <c r="G40" s="83"/>
      <c r="H40" s="84"/>
      <c r="I40" s="85"/>
      <c r="J40" s="85"/>
      <c r="K40" s="85"/>
      <c r="L40" s="85"/>
      <c r="M40" s="93" t="e">
        <f>#REF!&amp;" "&amp;ContractorPayroll[[#This Row],[Employee ID Number / Code]]</f>
        <v>#REF!</v>
      </c>
      <c r="N40" s="71" t="str">
        <f>_xlfn.IFNA(IF(C40="","",VLOOKUP(ContractorPayroll[[#This Row],[Position / Title]],Lists!I:K,3,FALSE)),"")</f>
        <v/>
      </c>
      <c r="O40" s="42" t="str">
        <f>IF(ContractorPayroll[[#This Row],[Position / Title]]="","",VLOOKUP(ContractorPayroll[[#This Row],[Position / Title]],Lists!I:K,2,FALSE))</f>
        <v/>
      </c>
      <c r="P40" s="22" t="str">
        <f>IF(D40="","",ContractorPayroll[[#This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0" s="31">
        <f>IFERROR(IF(ContractorPayroll[[#This Row],[Annual Cost of Wage Increase included in Rate Adjustment]]=0,0,R40*'Facility Info Input'!$F$10),0)</f>
        <v>0</v>
      </c>
      <c r="T40" s="32">
        <f t="shared" si="0"/>
        <v>0</v>
      </c>
      <c r="U40" s="32">
        <f t="shared" si="1"/>
        <v>0</v>
      </c>
      <c r="V40" s="32">
        <f t="shared" si="2"/>
        <v>0</v>
      </c>
      <c r="W40" s="32">
        <f t="shared" si="3"/>
        <v>0</v>
      </c>
    </row>
    <row r="41" spans="1:23">
      <c r="A41" s="77"/>
      <c r="B41" s="76"/>
      <c r="C41" s="77"/>
      <c r="D41" s="81"/>
      <c r="E41" s="82"/>
      <c r="F41" s="82"/>
      <c r="G41" s="83"/>
      <c r="H41" s="84"/>
      <c r="I41" s="85"/>
      <c r="J41" s="85"/>
      <c r="K41" s="85"/>
      <c r="L41" s="85"/>
      <c r="M41" s="93" t="e">
        <f>#REF!&amp;" "&amp;ContractorPayroll[[#This Row],[Employee ID Number / Code]]</f>
        <v>#REF!</v>
      </c>
      <c r="N41" s="71" t="str">
        <f>_xlfn.IFNA(IF(C41="","",VLOOKUP(ContractorPayroll[[#This Row],[Position / Title]],Lists!I:K,3,FALSE)),"")</f>
        <v/>
      </c>
      <c r="O41" s="42" t="str">
        <f>IF(ContractorPayroll[[#This Row],[Position / Title]]="","",VLOOKUP(ContractorPayroll[[#This Row],[Position / Title]],Lists!I:K,2,FALSE))</f>
        <v/>
      </c>
      <c r="P41" s="22" t="str">
        <f>IF(D41="","",ContractorPayroll[[#This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1" s="31">
        <f>IFERROR(IF(ContractorPayroll[[#This Row],[Annual Cost of Wage Increase included in Rate Adjustment]]=0,0,R41*'Facility Info Input'!$F$10),0)</f>
        <v>0</v>
      </c>
      <c r="T41" s="32">
        <f t="shared" si="0"/>
        <v>0</v>
      </c>
      <c r="U41" s="32">
        <f t="shared" si="1"/>
        <v>0</v>
      </c>
      <c r="V41" s="32">
        <f t="shared" si="2"/>
        <v>0</v>
      </c>
      <c r="W41" s="32">
        <f t="shared" si="3"/>
        <v>0</v>
      </c>
    </row>
    <row r="42" spans="1:23">
      <c r="A42" s="77"/>
      <c r="B42" s="76"/>
      <c r="C42" s="77"/>
      <c r="D42" s="81"/>
      <c r="E42" s="82"/>
      <c r="F42" s="82"/>
      <c r="G42" s="83"/>
      <c r="H42" s="84"/>
      <c r="I42" s="85"/>
      <c r="J42" s="85"/>
      <c r="K42" s="85"/>
      <c r="L42" s="85"/>
      <c r="M42" s="93" t="e">
        <f>#REF!&amp;" "&amp;ContractorPayroll[[#This Row],[Employee ID Number / Code]]</f>
        <v>#REF!</v>
      </c>
      <c r="N42" s="71" t="str">
        <f>_xlfn.IFNA(IF(C42="","",VLOOKUP(ContractorPayroll[[#This Row],[Position / Title]],Lists!I:K,3,FALSE)),"")</f>
        <v/>
      </c>
      <c r="O42" s="42" t="str">
        <f>IF(ContractorPayroll[[#This Row],[Position / Title]]="","",VLOOKUP(ContractorPayroll[[#This Row],[Position / Title]],Lists!I:K,2,FALSE))</f>
        <v/>
      </c>
      <c r="P42" s="22" t="str">
        <f>IF(D42="","",ContractorPayroll[[#This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2" s="31">
        <f>IFERROR(IF(ContractorPayroll[[#This Row],[Annual Cost of Wage Increase included in Rate Adjustment]]=0,0,R42*'Facility Info Input'!$F$10),0)</f>
        <v>0</v>
      </c>
      <c r="T42" s="32">
        <f t="shared" si="0"/>
        <v>0</v>
      </c>
      <c r="U42" s="32">
        <f t="shared" si="1"/>
        <v>0</v>
      </c>
      <c r="V42" s="32">
        <f t="shared" si="2"/>
        <v>0</v>
      </c>
      <c r="W42" s="32">
        <f t="shared" si="3"/>
        <v>0</v>
      </c>
    </row>
    <row r="43" spans="1:23">
      <c r="A43" s="77"/>
      <c r="B43" s="76"/>
      <c r="C43" s="77"/>
      <c r="D43" s="81"/>
      <c r="E43" s="82"/>
      <c r="F43" s="82"/>
      <c r="G43" s="83"/>
      <c r="H43" s="84"/>
      <c r="I43" s="85"/>
      <c r="J43" s="85"/>
      <c r="K43" s="85"/>
      <c r="L43" s="85"/>
      <c r="M43" s="93" t="e">
        <f>#REF!&amp;" "&amp;ContractorPayroll[[#This Row],[Employee ID Number / Code]]</f>
        <v>#REF!</v>
      </c>
      <c r="N43" s="71" t="str">
        <f>_xlfn.IFNA(IF(C43="","",VLOOKUP(ContractorPayroll[[#This Row],[Position / Title]],Lists!I:K,3,FALSE)),"")</f>
        <v/>
      </c>
      <c r="O43" s="42" t="str">
        <f>IF(ContractorPayroll[[#This Row],[Position / Title]]="","",VLOOKUP(ContractorPayroll[[#This Row],[Position / Title]],Lists!I:K,2,FALSE))</f>
        <v/>
      </c>
      <c r="P43" s="22" t="str">
        <f>IF(D43="","",ContractorPayroll[[#This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3" s="31">
        <f>IFERROR(IF(ContractorPayroll[[#This Row],[Annual Cost of Wage Increase included in Rate Adjustment]]=0,0,R43*'Facility Info Input'!$F$10),0)</f>
        <v>0</v>
      </c>
      <c r="T43" s="32">
        <f t="shared" si="0"/>
        <v>0</v>
      </c>
      <c r="U43" s="32">
        <f t="shared" si="1"/>
        <v>0</v>
      </c>
      <c r="V43" s="32">
        <f t="shared" si="2"/>
        <v>0</v>
      </c>
      <c r="W43" s="32">
        <f t="shared" si="3"/>
        <v>0</v>
      </c>
    </row>
    <row r="44" spans="1:23">
      <c r="A44" s="77"/>
      <c r="B44" s="76"/>
      <c r="C44" s="77"/>
      <c r="D44" s="81"/>
      <c r="E44" s="82"/>
      <c r="F44" s="82"/>
      <c r="G44" s="83"/>
      <c r="H44" s="84"/>
      <c r="I44" s="85"/>
      <c r="J44" s="85"/>
      <c r="K44" s="85"/>
      <c r="L44" s="85"/>
      <c r="M44" s="93" t="e">
        <f>#REF!&amp;" "&amp;ContractorPayroll[[#This Row],[Employee ID Number / Code]]</f>
        <v>#REF!</v>
      </c>
      <c r="N44" s="71" t="str">
        <f>_xlfn.IFNA(IF(C44="","",VLOOKUP(ContractorPayroll[[#This Row],[Position / Title]],Lists!I:K,3,FALSE)),"")</f>
        <v/>
      </c>
      <c r="O44" s="42" t="str">
        <f>IF(ContractorPayroll[[#This Row],[Position / Title]]="","",VLOOKUP(ContractorPayroll[[#This Row],[Position / Title]],Lists!I:K,2,FALSE))</f>
        <v/>
      </c>
      <c r="P44" s="22" t="str">
        <f>IF(D44="","",ContractorPayroll[[#This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4" s="31">
        <f>IFERROR(IF(ContractorPayroll[[#This Row],[Annual Cost of Wage Increase included in Rate Adjustment]]=0,0,R44*'Facility Info Input'!$F$10),0)</f>
        <v>0</v>
      </c>
      <c r="T44" s="32">
        <f t="shared" si="0"/>
        <v>0</v>
      </c>
      <c r="U44" s="32">
        <f t="shared" si="1"/>
        <v>0</v>
      </c>
      <c r="V44" s="32">
        <f t="shared" si="2"/>
        <v>0</v>
      </c>
      <c r="W44" s="32">
        <f t="shared" si="3"/>
        <v>0</v>
      </c>
    </row>
    <row r="45" spans="1:23">
      <c r="A45" s="77"/>
      <c r="B45" s="76"/>
      <c r="C45" s="77"/>
      <c r="D45" s="81"/>
      <c r="E45" s="82"/>
      <c r="F45" s="82"/>
      <c r="G45" s="83"/>
      <c r="H45" s="84"/>
      <c r="I45" s="85"/>
      <c r="J45" s="85"/>
      <c r="K45" s="85"/>
      <c r="L45" s="85"/>
      <c r="M45" s="93" t="e">
        <f>#REF!&amp;" "&amp;ContractorPayroll[[#This Row],[Employee ID Number / Code]]</f>
        <v>#REF!</v>
      </c>
      <c r="N45" s="71" t="str">
        <f>_xlfn.IFNA(IF(C45="","",VLOOKUP(ContractorPayroll[[#This Row],[Position / Title]],Lists!I:K,3,FALSE)),"")</f>
        <v/>
      </c>
      <c r="O45" s="42" t="str">
        <f>IF(ContractorPayroll[[#This Row],[Position / Title]]="","",VLOOKUP(ContractorPayroll[[#This Row],[Position / Title]],Lists!I:K,2,FALSE))</f>
        <v/>
      </c>
      <c r="P45" s="22" t="str">
        <f>IF(D45="","",ContractorPayroll[[#This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5" s="31">
        <f>IFERROR(IF(ContractorPayroll[[#This Row],[Annual Cost of Wage Increase included in Rate Adjustment]]=0,0,R45*'Facility Info Input'!$F$10),0)</f>
        <v>0</v>
      </c>
      <c r="T45" s="32">
        <f t="shared" si="0"/>
        <v>0</v>
      </c>
      <c r="U45" s="32">
        <f t="shared" si="1"/>
        <v>0</v>
      </c>
      <c r="V45" s="32">
        <f t="shared" si="2"/>
        <v>0</v>
      </c>
      <c r="W45" s="32">
        <f t="shared" si="3"/>
        <v>0</v>
      </c>
    </row>
    <row r="46" spans="1:23">
      <c r="A46" s="77"/>
      <c r="B46" s="76"/>
      <c r="C46" s="77"/>
      <c r="D46" s="81"/>
      <c r="E46" s="82"/>
      <c r="F46" s="82"/>
      <c r="G46" s="83"/>
      <c r="H46" s="84"/>
      <c r="I46" s="85"/>
      <c r="J46" s="85"/>
      <c r="K46" s="85"/>
      <c r="L46" s="85"/>
      <c r="M46" s="93" t="e">
        <f>#REF!&amp;" "&amp;ContractorPayroll[[#This Row],[Employee ID Number / Code]]</f>
        <v>#REF!</v>
      </c>
      <c r="N46" s="71" t="str">
        <f>_xlfn.IFNA(IF(C46="","",VLOOKUP(ContractorPayroll[[#This Row],[Position / Title]],Lists!I:K,3,FALSE)),"")</f>
        <v/>
      </c>
      <c r="O46" s="42" t="str">
        <f>IF(ContractorPayroll[[#This Row],[Position / Title]]="","",VLOOKUP(ContractorPayroll[[#This Row],[Position / Title]],Lists!I:K,2,FALSE))</f>
        <v/>
      </c>
      <c r="P46" s="22" t="str">
        <f>IF(D46="","",ContractorPayroll[[#This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6" s="31">
        <f>IFERROR(IF(ContractorPayroll[[#This Row],[Annual Cost of Wage Increase included in Rate Adjustment]]=0,0,R46*'Facility Info Input'!$F$10),0)</f>
        <v>0</v>
      </c>
      <c r="T46" s="32">
        <f t="shared" si="0"/>
        <v>0</v>
      </c>
      <c r="U46" s="32">
        <f t="shared" si="1"/>
        <v>0</v>
      </c>
      <c r="V46" s="32">
        <f t="shared" si="2"/>
        <v>0</v>
      </c>
      <c r="W46" s="32">
        <f t="shared" si="3"/>
        <v>0</v>
      </c>
    </row>
    <row r="47" spans="1:23">
      <c r="A47" s="77"/>
      <c r="B47" s="76"/>
      <c r="C47" s="77"/>
      <c r="D47" s="81"/>
      <c r="E47" s="82"/>
      <c r="F47" s="82"/>
      <c r="G47" s="83"/>
      <c r="H47" s="84"/>
      <c r="I47" s="85"/>
      <c r="J47" s="85"/>
      <c r="K47" s="85"/>
      <c r="L47" s="85"/>
      <c r="M47" s="93" t="e">
        <f>#REF!&amp;" "&amp;ContractorPayroll[[#This Row],[Employee ID Number / Code]]</f>
        <v>#REF!</v>
      </c>
      <c r="N47" s="71" t="str">
        <f>_xlfn.IFNA(IF(C47="","",VLOOKUP(ContractorPayroll[[#This Row],[Position / Title]],Lists!I:K,3,FALSE)),"")</f>
        <v/>
      </c>
      <c r="O47" s="42" t="str">
        <f>IF(ContractorPayroll[[#This Row],[Position / Title]]="","",VLOOKUP(ContractorPayroll[[#This Row],[Position / Title]],Lists!I:K,2,FALSE))</f>
        <v/>
      </c>
      <c r="P47" s="22" t="str">
        <f>IF(D47="","",ContractorPayroll[[#This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7" s="31">
        <f>IFERROR(IF(ContractorPayroll[[#This Row],[Annual Cost of Wage Increase included in Rate Adjustment]]=0,0,R47*'Facility Info Input'!$F$10),0)</f>
        <v>0</v>
      </c>
      <c r="T47" s="32">
        <f t="shared" si="0"/>
        <v>0</v>
      </c>
      <c r="U47" s="32">
        <f t="shared" si="1"/>
        <v>0</v>
      </c>
      <c r="V47" s="32">
        <f t="shared" si="2"/>
        <v>0</v>
      </c>
      <c r="W47" s="32">
        <f t="shared" si="3"/>
        <v>0</v>
      </c>
    </row>
    <row r="48" spans="1:23">
      <c r="A48" s="77"/>
      <c r="B48" s="76"/>
      <c r="C48" s="77"/>
      <c r="D48" s="81"/>
      <c r="E48" s="82"/>
      <c r="F48" s="82"/>
      <c r="G48" s="83"/>
      <c r="H48" s="84"/>
      <c r="I48" s="85"/>
      <c r="J48" s="85"/>
      <c r="K48" s="85"/>
      <c r="L48" s="85"/>
      <c r="M48" s="93" t="e">
        <f>#REF!&amp;" "&amp;ContractorPayroll[[#This Row],[Employee ID Number / Code]]</f>
        <v>#REF!</v>
      </c>
      <c r="N48" s="71" t="str">
        <f>_xlfn.IFNA(IF(C48="","",VLOOKUP(ContractorPayroll[[#This Row],[Position / Title]],Lists!I:K,3,FALSE)),"")</f>
        <v/>
      </c>
      <c r="O48" s="42" t="str">
        <f>IF(ContractorPayroll[[#This Row],[Position / Title]]="","",VLOOKUP(ContractorPayroll[[#This Row],[Position / Title]],Lists!I:K,2,FALSE))</f>
        <v/>
      </c>
      <c r="P48" s="22" t="str">
        <f>IF(D48="","",ContractorPayroll[[#This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8" s="31">
        <f>IFERROR(IF(ContractorPayroll[[#This Row],[Annual Cost of Wage Increase included in Rate Adjustment]]=0,0,R48*'Facility Info Input'!$F$10),0)</f>
        <v>0</v>
      </c>
      <c r="T48" s="32">
        <f t="shared" si="0"/>
        <v>0</v>
      </c>
      <c r="U48" s="32">
        <f t="shared" si="1"/>
        <v>0</v>
      </c>
      <c r="V48" s="32">
        <f t="shared" si="2"/>
        <v>0</v>
      </c>
      <c r="W48" s="32">
        <f t="shared" si="3"/>
        <v>0</v>
      </c>
    </row>
    <row r="49" spans="1:23">
      <c r="A49" s="77"/>
      <c r="B49" s="76"/>
      <c r="C49" s="77"/>
      <c r="D49" s="81"/>
      <c r="E49" s="82"/>
      <c r="F49" s="82"/>
      <c r="G49" s="83"/>
      <c r="H49" s="84"/>
      <c r="I49" s="85"/>
      <c r="J49" s="85"/>
      <c r="K49" s="85"/>
      <c r="L49" s="85"/>
      <c r="M49" s="93" t="e">
        <f>#REF!&amp;" "&amp;ContractorPayroll[[#This Row],[Employee ID Number / Code]]</f>
        <v>#REF!</v>
      </c>
      <c r="N49" s="71" t="str">
        <f>_xlfn.IFNA(IF(C49="","",VLOOKUP(ContractorPayroll[[#This Row],[Position / Title]],Lists!I:K,3,FALSE)),"")</f>
        <v/>
      </c>
      <c r="O49" s="42" t="str">
        <f>IF(ContractorPayroll[[#This Row],[Position / Title]]="","",VLOOKUP(ContractorPayroll[[#This Row],[Position / Title]],Lists!I:K,2,FALSE))</f>
        <v/>
      </c>
      <c r="P49" s="22" t="str">
        <f>IF(D49="","",ContractorPayroll[[#This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9" s="31">
        <f>IFERROR(IF(ContractorPayroll[[#This Row],[Annual Cost of Wage Increase included in Rate Adjustment]]=0,0,R49*'Facility Info Input'!$F$10),0)</f>
        <v>0</v>
      </c>
      <c r="T49" s="32">
        <f t="shared" si="0"/>
        <v>0</v>
      </c>
      <c r="U49" s="32">
        <f t="shared" si="1"/>
        <v>0</v>
      </c>
      <c r="V49" s="32">
        <f t="shared" si="2"/>
        <v>0</v>
      </c>
      <c r="W49" s="32">
        <f t="shared" si="3"/>
        <v>0</v>
      </c>
    </row>
    <row r="50" spans="1:23">
      <c r="A50" s="77"/>
      <c r="B50" s="76"/>
      <c r="C50" s="77"/>
      <c r="D50" s="81"/>
      <c r="E50" s="82"/>
      <c r="F50" s="82"/>
      <c r="G50" s="83"/>
      <c r="H50" s="84"/>
      <c r="I50" s="85"/>
      <c r="J50" s="85"/>
      <c r="K50" s="85"/>
      <c r="L50" s="85"/>
      <c r="M50" s="93" t="e">
        <f>#REF!&amp;" "&amp;ContractorPayroll[[#This Row],[Employee ID Number / Code]]</f>
        <v>#REF!</v>
      </c>
      <c r="N50" s="71" t="str">
        <f>_xlfn.IFNA(IF(C50="","",VLOOKUP(ContractorPayroll[[#This Row],[Position / Title]],Lists!I:K,3,FALSE)),"")</f>
        <v/>
      </c>
      <c r="O50" s="42" t="str">
        <f>IF(ContractorPayroll[[#This Row],[Position / Title]]="","",VLOOKUP(ContractorPayroll[[#This Row],[Position / Title]],Lists!I:K,2,FALSE))</f>
        <v/>
      </c>
      <c r="P50" s="22" t="str">
        <f>IF(D50="","",ContractorPayroll[[#This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0" s="31">
        <f>IFERROR(IF(ContractorPayroll[[#This Row],[Annual Cost of Wage Increase included in Rate Adjustment]]=0,0,R50*'Facility Info Input'!$F$10),0)</f>
        <v>0</v>
      </c>
      <c r="T50" s="32">
        <f t="shared" si="0"/>
        <v>0</v>
      </c>
      <c r="U50" s="32">
        <f t="shared" si="1"/>
        <v>0</v>
      </c>
      <c r="V50" s="32">
        <f t="shared" si="2"/>
        <v>0</v>
      </c>
      <c r="W50" s="32">
        <f t="shared" si="3"/>
        <v>0</v>
      </c>
    </row>
    <row r="51" spans="1:23">
      <c r="A51" s="77"/>
      <c r="B51" s="76"/>
      <c r="C51" s="77"/>
      <c r="D51" s="81"/>
      <c r="E51" s="82"/>
      <c r="F51" s="82"/>
      <c r="G51" s="83"/>
      <c r="H51" s="84"/>
      <c r="I51" s="85"/>
      <c r="J51" s="85"/>
      <c r="K51" s="85"/>
      <c r="L51" s="85"/>
      <c r="M51" s="93" t="e">
        <f>#REF!&amp;" "&amp;ContractorPayroll[[#This Row],[Employee ID Number / Code]]</f>
        <v>#REF!</v>
      </c>
      <c r="N51" s="71" t="str">
        <f>_xlfn.IFNA(IF(C51="","",VLOOKUP(ContractorPayroll[[#This Row],[Position / Title]],Lists!I:K,3,FALSE)),"")</f>
        <v/>
      </c>
      <c r="O51" s="42" t="str">
        <f>IF(ContractorPayroll[[#This Row],[Position / Title]]="","",VLOOKUP(ContractorPayroll[[#This Row],[Position / Title]],Lists!I:K,2,FALSE))</f>
        <v/>
      </c>
      <c r="P51" s="22" t="str">
        <f>IF(D51="","",ContractorPayroll[[#This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1" s="31">
        <f>IFERROR(IF(ContractorPayroll[[#This Row],[Annual Cost of Wage Increase included in Rate Adjustment]]=0,0,R51*'Facility Info Input'!$F$10),0)</f>
        <v>0</v>
      </c>
      <c r="T51" s="32">
        <f t="shared" si="0"/>
        <v>0</v>
      </c>
      <c r="U51" s="32">
        <f t="shared" si="1"/>
        <v>0</v>
      </c>
      <c r="V51" s="32">
        <f t="shared" si="2"/>
        <v>0</v>
      </c>
      <c r="W51" s="32">
        <f t="shared" si="3"/>
        <v>0</v>
      </c>
    </row>
    <row r="52" spans="1:23">
      <c r="A52" s="77"/>
      <c r="B52" s="76"/>
      <c r="C52" s="77"/>
      <c r="D52" s="81"/>
      <c r="E52" s="82"/>
      <c r="F52" s="82"/>
      <c r="G52" s="83"/>
      <c r="H52" s="84"/>
      <c r="I52" s="85"/>
      <c r="J52" s="85"/>
      <c r="K52" s="85"/>
      <c r="L52" s="85"/>
      <c r="M52" s="93" t="e">
        <f>#REF!&amp;" "&amp;ContractorPayroll[[#This Row],[Employee ID Number / Code]]</f>
        <v>#REF!</v>
      </c>
      <c r="N52" s="71" t="str">
        <f>_xlfn.IFNA(IF(C52="","",VLOOKUP(ContractorPayroll[[#This Row],[Position / Title]],Lists!I:K,3,FALSE)),"")</f>
        <v/>
      </c>
      <c r="O52" s="42" t="str">
        <f>IF(ContractorPayroll[[#This Row],[Position / Title]]="","",VLOOKUP(ContractorPayroll[[#This Row],[Position / Title]],Lists!I:K,2,FALSE))</f>
        <v/>
      </c>
      <c r="P52" s="22" t="str">
        <f>IF(D52="","",ContractorPayroll[[#This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2" s="31">
        <f>IFERROR(IF(ContractorPayroll[[#This Row],[Annual Cost of Wage Increase included in Rate Adjustment]]=0,0,R52*'Facility Info Input'!$F$10),0)</f>
        <v>0</v>
      </c>
      <c r="T52" s="32">
        <f t="shared" si="0"/>
        <v>0</v>
      </c>
      <c r="U52" s="32">
        <f t="shared" si="1"/>
        <v>0</v>
      </c>
      <c r="V52" s="32">
        <f t="shared" si="2"/>
        <v>0</v>
      </c>
      <c r="W52" s="32">
        <f t="shared" si="3"/>
        <v>0</v>
      </c>
    </row>
    <row r="53" spans="1:23">
      <c r="A53" s="77"/>
      <c r="B53" s="76"/>
      <c r="C53" s="77"/>
      <c r="D53" s="81"/>
      <c r="E53" s="82"/>
      <c r="F53" s="82"/>
      <c r="G53" s="83"/>
      <c r="H53" s="84"/>
      <c r="I53" s="85"/>
      <c r="J53" s="85"/>
      <c r="K53" s="85"/>
      <c r="L53" s="85"/>
      <c r="M53" s="93" t="e">
        <f>#REF!&amp;" "&amp;ContractorPayroll[[#This Row],[Employee ID Number / Code]]</f>
        <v>#REF!</v>
      </c>
      <c r="N53" s="71" t="str">
        <f>_xlfn.IFNA(IF(C53="","",VLOOKUP(ContractorPayroll[[#This Row],[Position / Title]],Lists!I:K,3,FALSE)),"")</f>
        <v/>
      </c>
      <c r="O53" s="42" t="str">
        <f>IF(ContractorPayroll[[#This Row],[Position / Title]]="","",VLOOKUP(ContractorPayroll[[#This Row],[Position / Title]],Lists!I:K,2,FALSE))</f>
        <v/>
      </c>
      <c r="P53" s="22" t="str">
        <f>IF(D53="","",ContractorPayroll[[#This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3" s="31">
        <f>IFERROR(IF(ContractorPayroll[[#This Row],[Annual Cost of Wage Increase included in Rate Adjustment]]=0,0,R53*'Facility Info Input'!$F$10),0)</f>
        <v>0</v>
      </c>
      <c r="T53" s="32">
        <f t="shared" si="0"/>
        <v>0</v>
      </c>
      <c r="U53" s="32">
        <f t="shared" si="1"/>
        <v>0</v>
      </c>
      <c r="V53" s="32">
        <f t="shared" si="2"/>
        <v>0</v>
      </c>
      <c r="W53" s="32">
        <f t="shared" si="3"/>
        <v>0</v>
      </c>
    </row>
    <row r="54" spans="1:23">
      <c r="A54" s="77"/>
      <c r="B54" s="76"/>
      <c r="C54" s="77"/>
      <c r="D54" s="81"/>
      <c r="E54" s="82"/>
      <c r="F54" s="82"/>
      <c r="G54" s="83"/>
      <c r="H54" s="84"/>
      <c r="I54" s="85"/>
      <c r="J54" s="85"/>
      <c r="K54" s="85"/>
      <c r="L54" s="85"/>
      <c r="M54" s="93" t="e">
        <f>#REF!&amp;" "&amp;ContractorPayroll[[#This Row],[Employee ID Number / Code]]</f>
        <v>#REF!</v>
      </c>
      <c r="N54" s="71" t="str">
        <f>_xlfn.IFNA(IF(C54="","",VLOOKUP(ContractorPayroll[[#This Row],[Position / Title]],Lists!I:K,3,FALSE)),"")</f>
        <v/>
      </c>
      <c r="O54" s="42" t="str">
        <f>IF(ContractorPayroll[[#This Row],[Position / Title]]="","",VLOOKUP(ContractorPayroll[[#This Row],[Position / Title]],Lists!I:K,2,FALSE))</f>
        <v/>
      </c>
      <c r="P54" s="22" t="str">
        <f>IF(D54="","",ContractorPayroll[[#This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4" s="31">
        <f>IFERROR(IF(ContractorPayroll[[#This Row],[Annual Cost of Wage Increase included in Rate Adjustment]]=0,0,R54*'Facility Info Input'!$F$10),0)</f>
        <v>0</v>
      </c>
      <c r="T54" s="32">
        <f t="shared" si="0"/>
        <v>0</v>
      </c>
      <c r="U54" s="32">
        <f t="shared" si="1"/>
        <v>0</v>
      </c>
      <c r="V54" s="32">
        <f t="shared" si="2"/>
        <v>0</v>
      </c>
      <c r="W54" s="32">
        <f t="shared" si="3"/>
        <v>0</v>
      </c>
    </row>
    <row r="55" spans="1:23">
      <c r="A55" s="77"/>
      <c r="B55" s="76"/>
      <c r="C55" s="77"/>
      <c r="D55" s="81"/>
      <c r="E55" s="82"/>
      <c r="F55" s="82"/>
      <c r="G55" s="83"/>
      <c r="H55" s="84"/>
      <c r="I55" s="85"/>
      <c r="J55" s="85"/>
      <c r="K55" s="85"/>
      <c r="L55" s="85"/>
      <c r="M55" s="93" t="e">
        <f>#REF!&amp;" "&amp;ContractorPayroll[[#This Row],[Employee ID Number / Code]]</f>
        <v>#REF!</v>
      </c>
      <c r="N55" s="71" t="str">
        <f>_xlfn.IFNA(IF(C55="","",VLOOKUP(ContractorPayroll[[#This Row],[Position / Title]],Lists!I:K,3,FALSE)),"")</f>
        <v/>
      </c>
      <c r="O55" s="42" t="str">
        <f>IF(ContractorPayroll[[#This Row],[Position / Title]]="","",VLOOKUP(ContractorPayroll[[#This Row],[Position / Title]],Lists!I:K,2,FALSE))</f>
        <v/>
      </c>
      <c r="P55" s="22" t="str">
        <f>IF(D55="","",ContractorPayroll[[#This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5" s="31">
        <f>IFERROR(IF(ContractorPayroll[[#This Row],[Annual Cost of Wage Increase included in Rate Adjustment]]=0,0,R55*'Facility Info Input'!$F$10),0)</f>
        <v>0</v>
      </c>
      <c r="T55" s="32">
        <f t="shared" si="0"/>
        <v>0</v>
      </c>
      <c r="U55" s="32">
        <f t="shared" si="1"/>
        <v>0</v>
      </c>
      <c r="V55" s="32">
        <f t="shared" si="2"/>
        <v>0</v>
      </c>
      <c r="W55" s="32">
        <f t="shared" si="3"/>
        <v>0</v>
      </c>
    </row>
    <row r="56" spans="1:23">
      <c r="A56" s="77"/>
      <c r="B56" s="76"/>
      <c r="C56" s="77"/>
      <c r="D56" s="81"/>
      <c r="E56" s="82"/>
      <c r="F56" s="82"/>
      <c r="G56" s="83"/>
      <c r="H56" s="84"/>
      <c r="I56" s="85"/>
      <c r="J56" s="85"/>
      <c r="K56" s="85"/>
      <c r="L56" s="85"/>
      <c r="M56" s="93" t="e">
        <f>#REF!&amp;" "&amp;ContractorPayroll[[#This Row],[Employee ID Number / Code]]</f>
        <v>#REF!</v>
      </c>
      <c r="N56" s="71" t="str">
        <f>_xlfn.IFNA(IF(C56="","",VLOOKUP(ContractorPayroll[[#This Row],[Position / Title]],Lists!I:K,3,FALSE)),"")</f>
        <v/>
      </c>
      <c r="O56" s="42" t="str">
        <f>IF(ContractorPayroll[[#This Row],[Position / Title]]="","",VLOOKUP(ContractorPayroll[[#This Row],[Position / Title]],Lists!I:K,2,FALSE))</f>
        <v/>
      </c>
      <c r="P56" s="22" t="str">
        <f>IF(D56="","",ContractorPayroll[[#This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6" s="31">
        <f>IFERROR(IF(ContractorPayroll[[#This Row],[Annual Cost of Wage Increase included in Rate Adjustment]]=0,0,R56*'Facility Info Input'!$F$10),0)</f>
        <v>0</v>
      </c>
      <c r="T56" s="32">
        <f t="shared" si="0"/>
        <v>0</v>
      </c>
      <c r="U56" s="32">
        <f t="shared" si="1"/>
        <v>0</v>
      </c>
      <c r="V56" s="32">
        <f t="shared" si="2"/>
        <v>0</v>
      </c>
      <c r="W56" s="32">
        <f t="shared" si="3"/>
        <v>0</v>
      </c>
    </row>
    <row r="57" spans="1:23">
      <c r="A57" s="77"/>
      <c r="B57" s="76"/>
      <c r="C57" s="77"/>
      <c r="D57" s="81"/>
      <c r="E57" s="82"/>
      <c r="F57" s="82"/>
      <c r="G57" s="83"/>
      <c r="H57" s="84"/>
      <c r="I57" s="85"/>
      <c r="J57" s="85"/>
      <c r="K57" s="85"/>
      <c r="L57" s="85"/>
      <c r="M57" s="93" t="e">
        <f>#REF!&amp;" "&amp;ContractorPayroll[[#This Row],[Employee ID Number / Code]]</f>
        <v>#REF!</v>
      </c>
      <c r="N57" s="71" t="str">
        <f>_xlfn.IFNA(IF(C57="","",VLOOKUP(ContractorPayroll[[#This Row],[Position / Title]],Lists!I:K,3,FALSE)),"")</f>
        <v/>
      </c>
      <c r="O57" s="42" t="str">
        <f>IF(ContractorPayroll[[#This Row],[Position / Title]]="","",VLOOKUP(ContractorPayroll[[#This Row],[Position / Title]],Lists!I:K,2,FALSE))</f>
        <v/>
      </c>
      <c r="P57" s="22" t="str">
        <f>IF(D57="","",ContractorPayroll[[#This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7" s="31">
        <f>IFERROR(IF(ContractorPayroll[[#This Row],[Annual Cost of Wage Increase included in Rate Adjustment]]=0,0,R57*'Facility Info Input'!$F$10),0)</f>
        <v>0</v>
      </c>
      <c r="T57" s="32">
        <f t="shared" si="0"/>
        <v>0</v>
      </c>
      <c r="U57" s="32">
        <f t="shared" si="1"/>
        <v>0</v>
      </c>
      <c r="V57" s="32">
        <f t="shared" si="2"/>
        <v>0</v>
      </c>
      <c r="W57" s="32">
        <f t="shared" si="3"/>
        <v>0</v>
      </c>
    </row>
    <row r="58" spans="1:23">
      <c r="A58" s="77"/>
      <c r="B58" s="76"/>
      <c r="C58" s="77"/>
      <c r="D58" s="81"/>
      <c r="E58" s="82"/>
      <c r="F58" s="82"/>
      <c r="G58" s="83"/>
      <c r="H58" s="84"/>
      <c r="I58" s="85"/>
      <c r="J58" s="85"/>
      <c r="K58" s="85"/>
      <c r="L58" s="85"/>
      <c r="M58" s="93" t="e">
        <f>#REF!&amp;" "&amp;ContractorPayroll[[#This Row],[Employee ID Number / Code]]</f>
        <v>#REF!</v>
      </c>
      <c r="N58" s="71" t="str">
        <f>_xlfn.IFNA(IF(C58="","",VLOOKUP(ContractorPayroll[[#This Row],[Position / Title]],Lists!I:K,3,FALSE)),"")</f>
        <v/>
      </c>
      <c r="O58" s="42" t="str">
        <f>IF(ContractorPayroll[[#This Row],[Position / Title]]="","",VLOOKUP(ContractorPayroll[[#This Row],[Position / Title]],Lists!I:K,2,FALSE))</f>
        <v/>
      </c>
      <c r="P58" s="22" t="str">
        <f>IF(D58="","",ContractorPayroll[[#This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8" s="31">
        <f>IFERROR(IF(ContractorPayroll[[#This Row],[Annual Cost of Wage Increase included in Rate Adjustment]]=0,0,R58*'Facility Info Input'!$F$10),0)</f>
        <v>0</v>
      </c>
      <c r="T58" s="32">
        <f t="shared" si="0"/>
        <v>0</v>
      </c>
      <c r="U58" s="32">
        <f t="shared" si="1"/>
        <v>0</v>
      </c>
      <c r="V58" s="32">
        <f t="shared" si="2"/>
        <v>0</v>
      </c>
      <c r="W58" s="32">
        <f t="shared" si="3"/>
        <v>0</v>
      </c>
    </row>
    <row r="59" spans="1:23">
      <c r="A59" s="77"/>
      <c r="B59" s="76"/>
      <c r="C59" s="77"/>
      <c r="D59" s="81"/>
      <c r="E59" s="82"/>
      <c r="F59" s="82"/>
      <c r="G59" s="83"/>
      <c r="H59" s="84"/>
      <c r="I59" s="85"/>
      <c r="J59" s="85"/>
      <c r="K59" s="85"/>
      <c r="L59" s="85"/>
      <c r="M59" s="93" t="e">
        <f>#REF!&amp;" "&amp;ContractorPayroll[[#This Row],[Employee ID Number / Code]]</f>
        <v>#REF!</v>
      </c>
      <c r="N59" s="71" t="str">
        <f>_xlfn.IFNA(IF(C59="","",VLOOKUP(ContractorPayroll[[#This Row],[Position / Title]],Lists!I:K,3,FALSE)),"")</f>
        <v/>
      </c>
      <c r="O59" s="42" t="str">
        <f>IF(ContractorPayroll[[#This Row],[Position / Title]]="","",VLOOKUP(ContractorPayroll[[#This Row],[Position / Title]],Lists!I:K,2,FALSE))</f>
        <v/>
      </c>
      <c r="P59" s="22" t="str">
        <f>IF(D59="","",ContractorPayroll[[#This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5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5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59" s="31">
        <f>IFERROR(IF(ContractorPayroll[[#This Row],[Annual Cost of Wage Increase included in Rate Adjustment]]=0,0,R59*'Facility Info Input'!$F$10),0)</f>
        <v>0</v>
      </c>
      <c r="T59" s="32">
        <f t="shared" si="0"/>
        <v>0</v>
      </c>
      <c r="U59" s="32">
        <f t="shared" si="1"/>
        <v>0</v>
      </c>
      <c r="V59" s="32">
        <f t="shared" si="2"/>
        <v>0</v>
      </c>
      <c r="W59" s="32">
        <f t="shared" si="3"/>
        <v>0</v>
      </c>
    </row>
    <row r="60" spans="1:23">
      <c r="A60" s="77"/>
      <c r="B60" s="76"/>
      <c r="C60" s="77"/>
      <c r="D60" s="81"/>
      <c r="E60" s="82"/>
      <c r="F60" s="82"/>
      <c r="G60" s="83"/>
      <c r="H60" s="84"/>
      <c r="I60" s="85"/>
      <c r="J60" s="85"/>
      <c r="K60" s="85"/>
      <c r="L60" s="85"/>
      <c r="M60" s="93" t="e">
        <f>#REF!&amp;" "&amp;ContractorPayroll[[#This Row],[Employee ID Number / Code]]</f>
        <v>#REF!</v>
      </c>
      <c r="N60" s="71" t="str">
        <f>_xlfn.IFNA(IF(C60="","",VLOOKUP(ContractorPayroll[[#This Row],[Position / Title]],Lists!I:K,3,FALSE)),"")</f>
        <v/>
      </c>
      <c r="O60" s="42" t="str">
        <f>IF(ContractorPayroll[[#This Row],[Position / Title]]="","",VLOOKUP(ContractorPayroll[[#This Row],[Position / Title]],Lists!I:K,2,FALSE))</f>
        <v/>
      </c>
      <c r="P60" s="22" t="str">
        <f>IF(D60="","",ContractorPayroll[[#This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0" s="31">
        <f>IFERROR(IF(ContractorPayroll[[#This Row],[Annual Cost of Wage Increase included in Rate Adjustment]]=0,0,R60*'Facility Info Input'!$F$10),0)</f>
        <v>0</v>
      </c>
      <c r="T60" s="32">
        <f t="shared" si="0"/>
        <v>0</v>
      </c>
      <c r="U60" s="32">
        <f t="shared" si="1"/>
        <v>0</v>
      </c>
      <c r="V60" s="32">
        <f t="shared" si="2"/>
        <v>0</v>
      </c>
      <c r="W60" s="32">
        <f t="shared" si="3"/>
        <v>0</v>
      </c>
    </row>
    <row r="61" spans="1:23">
      <c r="A61" s="77"/>
      <c r="B61" s="76"/>
      <c r="C61" s="77"/>
      <c r="D61" s="81"/>
      <c r="E61" s="82"/>
      <c r="F61" s="82"/>
      <c r="G61" s="83"/>
      <c r="H61" s="84"/>
      <c r="I61" s="85"/>
      <c r="J61" s="85"/>
      <c r="K61" s="85"/>
      <c r="L61" s="85"/>
      <c r="M61" s="93" t="e">
        <f>#REF!&amp;" "&amp;ContractorPayroll[[#This Row],[Employee ID Number / Code]]</f>
        <v>#REF!</v>
      </c>
      <c r="N61" s="71" t="str">
        <f>_xlfn.IFNA(IF(C61="","",VLOOKUP(ContractorPayroll[[#This Row],[Position / Title]],Lists!I:K,3,FALSE)),"")</f>
        <v/>
      </c>
      <c r="O61" s="42" t="str">
        <f>IF(ContractorPayroll[[#This Row],[Position / Title]]="","",VLOOKUP(ContractorPayroll[[#This Row],[Position / Title]],Lists!I:K,2,FALSE))</f>
        <v/>
      </c>
      <c r="P61" s="22" t="str">
        <f>IF(D61="","",ContractorPayroll[[#This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1" s="31">
        <f>IFERROR(IF(ContractorPayroll[[#This Row],[Annual Cost of Wage Increase included in Rate Adjustment]]=0,0,R61*'Facility Info Input'!$F$10),0)</f>
        <v>0</v>
      </c>
      <c r="T61" s="32">
        <f t="shared" si="0"/>
        <v>0</v>
      </c>
      <c r="U61" s="32">
        <f t="shared" si="1"/>
        <v>0</v>
      </c>
      <c r="V61" s="32">
        <f t="shared" si="2"/>
        <v>0</v>
      </c>
      <c r="W61" s="32">
        <f t="shared" si="3"/>
        <v>0</v>
      </c>
    </row>
    <row r="62" spans="1:23">
      <c r="A62" s="77"/>
      <c r="B62" s="76"/>
      <c r="C62" s="77"/>
      <c r="D62" s="81"/>
      <c r="E62" s="82"/>
      <c r="F62" s="82"/>
      <c r="G62" s="83"/>
      <c r="H62" s="84"/>
      <c r="I62" s="85"/>
      <c r="J62" s="85"/>
      <c r="K62" s="85"/>
      <c r="L62" s="85"/>
      <c r="M62" s="93" t="e">
        <f>#REF!&amp;" "&amp;ContractorPayroll[[#This Row],[Employee ID Number / Code]]</f>
        <v>#REF!</v>
      </c>
      <c r="N62" s="71" t="str">
        <f>_xlfn.IFNA(IF(C62="","",VLOOKUP(ContractorPayroll[[#This Row],[Position / Title]],Lists!I:K,3,FALSE)),"")</f>
        <v/>
      </c>
      <c r="O62" s="42" t="str">
        <f>IF(ContractorPayroll[[#This Row],[Position / Title]]="","",VLOOKUP(ContractorPayroll[[#This Row],[Position / Title]],Lists!I:K,2,FALSE))</f>
        <v/>
      </c>
      <c r="P62" s="22" t="str">
        <f>IF(D62="","",ContractorPayroll[[#This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2" s="31">
        <f>IFERROR(IF(ContractorPayroll[[#This Row],[Annual Cost of Wage Increase included in Rate Adjustment]]=0,0,R62*'Facility Info Input'!$F$10),0)</f>
        <v>0</v>
      </c>
      <c r="T62" s="32">
        <f t="shared" si="0"/>
        <v>0</v>
      </c>
      <c r="U62" s="32">
        <f t="shared" si="1"/>
        <v>0</v>
      </c>
      <c r="V62" s="32">
        <f t="shared" si="2"/>
        <v>0</v>
      </c>
      <c r="W62" s="32">
        <f t="shared" si="3"/>
        <v>0</v>
      </c>
    </row>
    <row r="63" spans="1:23">
      <c r="A63" s="77"/>
      <c r="B63" s="76"/>
      <c r="C63" s="77"/>
      <c r="D63" s="81"/>
      <c r="E63" s="82"/>
      <c r="F63" s="82"/>
      <c r="G63" s="83"/>
      <c r="H63" s="84"/>
      <c r="I63" s="85"/>
      <c r="J63" s="85"/>
      <c r="K63" s="85"/>
      <c r="L63" s="85"/>
      <c r="M63" s="93" t="e">
        <f>#REF!&amp;" "&amp;ContractorPayroll[[#This Row],[Employee ID Number / Code]]</f>
        <v>#REF!</v>
      </c>
      <c r="N63" s="71" t="str">
        <f>_xlfn.IFNA(IF(C63="","",VLOOKUP(ContractorPayroll[[#This Row],[Position / Title]],Lists!I:K,3,FALSE)),"")</f>
        <v/>
      </c>
      <c r="O63" s="42" t="str">
        <f>IF(ContractorPayroll[[#This Row],[Position / Title]]="","",VLOOKUP(ContractorPayroll[[#This Row],[Position / Title]],Lists!I:K,2,FALSE))</f>
        <v/>
      </c>
      <c r="P63" s="22" t="str">
        <f>IF(D63="","",ContractorPayroll[[#This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3" s="31">
        <f>IFERROR(IF(ContractorPayroll[[#This Row],[Annual Cost of Wage Increase included in Rate Adjustment]]=0,0,R63*'Facility Info Input'!$F$10),0)</f>
        <v>0</v>
      </c>
      <c r="T63" s="32">
        <f t="shared" si="0"/>
        <v>0</v>
      </c>
      <c r="U63" s="32">
        <f t="shared" si="1"/>
        <v>0</v>
      </c>
      <c r="V63" s="32">
        <f t="shared" si="2"/>
        <v>0</v>
      </c>
      <c r="W63" s="32">
        <f t="shared" si="3"/>
        <v>0</v>
      </c>
    </row>
    <row r="64" spans="1:23">
      <c r="A64" s="77"/>
      <c r="B64" s="76"/>
      <c r="C64" s="77"/>
      <c r="D64" s="81"/>
      <c r="E64" s="82"/>
      <c r="F64" s="82"/>
      <c r="G64" s="83"/>
      <c r="H64" s="84"/>
      <c r="I64" s="85"/>
      <c r="J64" s="85"/>
      <c r="K64" s="85"/>
      <c r="L64" s="85"/>
      <c r="M64" s="93" t="e">
        <f>#REF!&amp;" "&amp;ContractorPayroll[[#This Row],[Employee ID Number / Code]]</f>
        <v>#REF!</v>
      </c>
      <c r="N64" s="71" t="str">
        <f>_xlfn.IFNA(IF(C64="","",VLOOKUP(ContractorPayroll[[#This Row],[Position / Title]],Lists!I:K,3,FALSE)),"")</f>
        <v/>
      </c>
      <c r="O64" s="42" t="str">
        <f>IF(ContractorPayroll[[#This Row],[Position / Title]]="","",VLOOKUP(ContractorPayroll[[#This Row],[Position / Title]],Lists!I:K,2,FALSE))</f>
        <v/>
      </c>
      <c r="P64" s="22" t="str">
        <f>IF(D64="","",ContractorPayroll[[#This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4" s="31">
        <f>IFERROR(IF(ContractorPayroll[[#This Row],[Annual Cost of Wage Increase included in Rate Adjustment]]=0,0,R64*'Facility Info Input'!$F$10),0)</f>
        <v>0</v>
      </c>
      <c r="T64" s="32">
        <f t="shared" si="0"/>
        <v>0</v>
      </c>
      <c r="U64" s="32">
        <f t="shared" si="1"/>
        <v>0</v>
      </c>
      <c r="V64" s="32">
        <f t="shared" si="2"/>
        <v>0</v>
      </c>
      <c r="W64" s="32">
        <f t="shared" si="3"/>
        <v>0</v>
      </c>
    </row>
    <row r="65" spans="1:23">
      <c r="A65" s="77"/>
      <c r="B65" s="76"/>
      <c r="C65" s="77"/>
      <c r="D65" s="81"/>
      <c r="E65" s="82"/>
      <c r="F65" s="82"/>
      <c r="G65" s="83"/>
      <c r="H65" s="84"/>
      <c r="I65" s="85"/>
      <c r="J65" s="85"/>
      <c r="K65" s="85"/>
      <c r="L65" s="85"/>
      <c r="M65" s="93" t="e">
        <f>#REF!&amp;" "&amp;ContractorPayroll[[#This Row],[Employee ID Number / Code]]</f>
        <v>#REF!</v>
      </c>
      <c r="N65" s="71" t="str">
        <f>_xlfn.IFNA(IF(C65="","",VLOOKUP(ContractorPayroll[[#This Row],[Position / Title]],Lists!I:K,3,FALSE)),"")</f>
        <v/>
      </c>
      <c r="O65" s="42" t="str">
        <f>IF(ContractorPayroll[[#This Row],[Position / Title]]="","",VLOOKUP(ContractorPayroll[[#This Row],[Position / Title]],Lists!I:K,2,FALSE))</f>
        <v/>
      </c>
      <c r="P65" s="22" t="str">
        <f>IF(D65="","",ContractorPayroll[[#This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5" s="31">
        <f>IFERROR(IF(ContractorPayroll[[#This Row],[Annual Cost of Wage Increase included in Rate Adjustment]]=0,0,R65*'Facility Info Input'!$F$10),0)</f>
        <v>0</v>
      </c>
      <c r="T65" s="32">
        <f t="shared" si="0"/>
        <v>0</v>
      </c>
      <c r="U65" s="32">
        <f t="shared" si="1"/>
        <v>0</v>
      </c>
      <c r="V65" s="32">
        <f t="shared" si="2"/>
        <v>0</v>
      </c>
      <c r="W65" s="32">
        <f t="shared" si="3"/>
        <v>0</v>
      </c>
    </row>
    <row r="66" spans="1:23">
      <c r="A66" s="77"/>
      <c r="B66" s="76"/>
      <c r="C66" s="77"/>
      <c r="D66" s="81"/>
      <c r="E66" s="82"/>
      <c r="F66" s="82"/>
      <c r="G66" s="83"/>
      <c r="H66" s="84"/>
      <c r="I66" s="85"/>
      <c r="J66" s="85"/>
      <c r="K66" s="85"/>
      <c r="L66" s="85"/>
      <c r="M66" s="93" t="e">
        <f>#REF!&amp;" "&amp;ContractorPayroll[[#This Row],[Employee ID Number / Code]]</f>
        <v>#REF!</v>
      </c>
      <c r="N66" s="71" t="str">
        <f>_xlfn.IFNA(IF(C66="","",VLOOKUP(ContractorPayroll[[#This Row],[Position / Title]],Lists!I:K,3,FALSE)),"")</f>
        <v/>
      </c>
      <c r="O66" s="42" t="str">
        <f>IF(ContractorPayroll[[#This Row],[Position / Title]]="","",VLOOKUP(ContractorPayroll[[#This Row],[Position / Title]],Lists!I:K,2,FALSE))</f>
        <v/>
      </c>
      <c r="P66" s="22" t="str">
        <f>IF(D66="","",ContractorPayroll[[#This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6" s="31">
        <f>IFERROR(IF(ContractorPayroll[[#This Row],[Annual Cost of Wage Increase included in Rate Adjustment]]=0,0,R66*'Facility Info Input'!$F$10),0)</f>
        <v>0</v>
      </c>
      <c r="T66" s="32">
        <f t="shared" ref="T66:T129" si="4">IFERROR(J66*R66,0)</f>
        <v>0</v>
      </c>
      <c r="U66" s="32">
        <f t="shared" ref="U66:U129" si="5">IFERROR(K66*R66,0)</f>
        <v>0</v>
      </c>
      <c r="V66" s="32">
        <f t="shared" ref="V66:V129" si="6">IFERROR(IF(H66="Yes",I66*R66,0),0)</f>
        <v>0</v>
      </c>
      <c r="W66" s="32">
        <f t="shared" si="3"/>
        <v>0</v>
      </c>
    </row>
    <row r="67" spans="1:23">
      <c r="A67" s="77"/>
      <c r="B67" s="76"/>
      <c r="C67" s="77"/>
      <c r="D67" s="81"/>
      <c r="E67" s="82"/>
      <c r="F67" s="82"/>
      <c r="G67" s="83"/>
      <c r="H67" s="84"/>
      <c r="I67" s="85"/>
      <c r="J67" s="85"/>
      <c r="K67" s="85"/>
      <c r="L67" s="85"/>
      <c r="M67" s="93" t="e">
        <f>#REF!&amp;" "&amp;ContractorPayroll[[#This Row],[Employee ID Number / Code]]</f>
        <v>#REF!</v>
      </c>
      <c r="N67" s="71" t="str">
        <f>_xlfn.IFNA(IF(C67="","",VLOOKUP(ContractorPayroll[[#This Row],[Position / Title]],Lists!I:K,3,FALSE)),"")</f>
        <v/>
      </c>
      <c r="O67" s="42" t="str">
        <f>IF(ContractorPayroll[[#This Row],[Position / Title]]="","",VLOOKUP(ContractorPayroll[[#This Row],[Position / Title]],Lists!I:K,2,FALSE))</f>
        <v/>
      </c>
      <c r="P67" s="22" t="str">
        <f>IF(D67="","",ContractorPayroll[[#This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7" s="31">
        <f>IFERROR(IF(ContractorPayroll[[#This Row],[Annual Cost of Wage Increase included in Rate Adjustment]]=0,0,R67*'Facility Info Input'!$F$10),0)</f>
        <v>0</v>
      </c>
      <c r="T67" s="32">
        <f t="shared" si="4"/>
        <v>0</v>
      </c>
      <c r="U67" s="32">
        <f t="shared" si="5"/>
        <v>0</v>
      </c>
      <c r="V67" s="32">
        <f t="shared" si="6"/>
        <v>0</v>
      </c>
      <c r="W67" s="32">
        <f t="shared" ref="W67:W130" si="7">IFERROR(SUM(R67:V67),0)</f>
        <v>0</v>
      </c>
    </row>
    <row r="68" spans="1:23">
      <c r="A68" s="77"/>
      <c r="B68" s="76"/>
      <c r="C68" s="77"/>
      <c r="D68" s="81"/>
      <c r="E68" s="82"/>
      <c r="F68" s="82"/>
      <c r="G68" s="83"/>
      <c r="H68" s="84"/>
      <c r="I68" s="85"/>
      <c r="J68" s="85"/>
      <c r="K68" s="85"/>
      <c r="L68" s="85"/>
      <c r="M68" s="93" t="e">
        <f>#REF!&amp;" "&amp;ContractorPayroll[[#This Row],[Employee ID Number / Code]]</f>
        <v>#REF!</v>
      </c>
      <c r="N68" s="71" t="str">
        <f>_xlfn.IFNA(IF(C68="","",VLOOKUP(ContractorPayroll[[#This Row],[Position / Title]],Lists!I:K,3,FALSE)),"")</f>
        <v/>
      </c>
      <c r="O68" s="42" t="str">
        <f>IF(ContractorPayroll[[#This Row],[Position / Title]]="","",VLOOKUP(ContractorPayroll[[#This Row],[Position / Title]],Lists!I:K,2,FALSE))</f>
        <v/>
      </c>
      <c r="P68" s="22" t="str">
        <f>IF(D68="","",ContractorPayroll[[#This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8" s="31">
        <f>IFERROR(IF(ContractorPayroll[[#This Row],[Annual Cost of Wage Increase included in Rate Adjustment]]=0,0,R68*'Facility Info Input'!$F$10),0)</f>
        <v>0</v>
      </c>
      <c r="T68" s="32">
        <f t="shared" si="4"/>
        <v>0</v>
      </c>
      <c r="U68" s="32">
        <f t="shared" si="5"/>
        <v>0</v>
      </c>
      <c r="V68" s="32">
        <f t="shared" si="6"/>
        <v>0</v>
      </c>
      <c r="W68" s="32">
        <f t="shared" si="7"/>
        <v>0</v>
      </c>
    </row>
    <row r="69" spans="1:23">
      <c r="A69" s="77"/>
      <c r="B69" s="76"/>
      <c r="C69" s="77"/>
      <c r="D69" s="81"/>
      <c r="E69" s="82"/>
      <c r="F69" s="82"/>
      <c r="G69" s="83"/>
      <c r="H69" s="84"/>
      <c r="I69" s="85"/>
      <c r="J69" s="85"/>
      <c r="K69" s="85"/>
      <c r="L69" s="85"/>
      <c r="M69" s="93" t="e">
        <f>#REF!&amp;" "&amp;ContractorPayroll[[#This Row],[Employee ID Number / Code]]</f>
        <v>#REF!</v>
      </c>
      <c r="N69" s="71" t="str">
        <f>_xlfn.IFNA(IF(C69="","",VLOOKUP(ContractorPayroll[[#This Row],[Position / Title]],Lists!I:K,3,FALSE)),"")</f>
        <v/>
      </c>
      <c r="O69" s="42" t="str">
        <f>IF(ContractorPayroll[[#This Row],[Position / Title]]="","",VLOOKUP(ContractorPayroll[[#This Row],[Position / Title]],Lists!I:K,2,FALSE))</f>
        <v/>
      </c>
      <c r="P69" s="22" t="str">
        <f>IF(D69="","",ContractorPayroll[[#This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6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6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69" s="31">
        <f>IFERROR(IF(ContractorPayroll[[#This Row],[Annual Cost of Wage Increase included in Rate Adjustment]]=0,0,R69*'Facility Info Input'!$F$10),0)</f>
        <v>0</v>
      </c>
      <c r="T69" s="32">
        <f t="shared" si="4"/>
        <v>0</v>
      </c>
      <c r="U69" s="32">
        <f t="shared" si="5"/>
        <v>0</v>
      </c>
      <c r="V69" s="32">
        <f t="shared" si="6"/>
        <v>0</v>
      </c>
      <c r="W69" s="32">
        <f t="shared" si="7"/>
        <v>0</v>
      </c>
    </row>
    <row r="70" spans="1:23">
      <c r="A70" s="77"/>
      <c r="B70" s="76"/>
      <c r="C70" s="77"/>
      <c r="D70" s="81"/>
      <c r="E70" s="82"/>
      <c r="F70" s="82"/>
      <c r="G70" s="83"/>
      <c r="H70" s="84"/>
      <c r="I70" s="85"/>
      <c r="J70" s="85"/>
      <c r="K70" s="85"/>
      <c r="L70" s="85"/>
      <c r="M70" s="93" t="e">
        <f>#REF!&amp;" "&amp;ContractorPayroll[[#This Row],[Employee ID Number / Code]]</f>
        <v>#REF!</v>
      </c>
      <c r="N70" s="71" t="str">
        <f>_xlfn.IFNA(IF(C70="","",VLOOKUP(ContractorPayroll[[#This Row],[Position / Title]],Lists!I:K,3,FALSE)),"")</f>
        <v/>
      </c>
      <c r="O70" s="42" t="str">
        <f>IF(ContractorPayroll[[#This Row],[Position / Title]]="","",VLOOKUP(ContractorPayroll[[#This Row],[Position / Title]],Lists!I:K,2,FALSE))</f>
        <v/>
      </c>
      <c r="P70" s="22" t="str">
        <f>IF(D70="","",ContractorPayroll[[#This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0" s="31">
        <f>IFERROR(IF(ContractorPayroll[[#This Row],[Annual Cost of Wage Increase included in Rate Adjustment]]=0,0,R70*'Facility Info Input'!$F$10),0)</f>
        <v>0</v>
      </c>
      <c r="T70" s="32">
        <f t="shared" si="4"/>
        <v>0</v>
      </c>
      <c r="U70" s="32">
        <f t="shared" si="5"/>
        <v>0</v>
      </c>
      <c r="V70" s="32">
        <f t="shared" si="6"/>
        <v>0</v>
      </c>
      <c r="W70" s="32">
        <f t="shared" si="7"/>
        <v>0</v>
      </c>
    </row>
    <row r="71" spans="1:23">
      <c r="A71" s="77"/>
      <c r="B71" s="76"/>
      <c r="C71" s="77"/>
      <c r="D71" s="81"/>
      <c r="E71" s="82"/>
      <c r="F71" s="82"/>
      <c r="G71" s="83"/>
      <c r="H71" s="84"/>
      <c r="I71" s="85"/>
      <c r="J71" s="85"/>
      <c r="K71" s="85"/>
      <c r="L71" s="85"/>
      <c r="M71" s="93" t="e">
        <f>#REF!&amp;" "&amp;ContractorPayroll[[#This Row],[Employee ID Number / Code]]</f>
        <v>#REF!</v>
      </c>
      <c r="N71" s="71" t="str">
        <f>_xlfn.IFNA(IF(C71="","",VLOOKUP(ContractorPayroll[[#This Row],[Position / Title]],Lists!I:K,3,FALSE)),"")</f>
        <v/>
      </c>
      <c r="O71" s="42" t="str">
        <f>IF(ContractorPayroll[[#This Row],[Position / Title]]="","",VLOOKUP(ContractorPayroll[[#This Row],[Position / Title]],Lists!I:K,2,FALSE))</f>
        <v/>
      </c>
      <c r="P71" s="22" t="str">
        <f>IF(D71="","",ContractorPayroll[[#This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1" s="31">
        <f>IFERROR(IF(ContractorPayroll[[#This Row],[Annual Cost of Wage Increase included in Rate Adjustment]]=0,0,R71*'Facility Info Input'!$F$10),0)</f>
        <v>0</v>
      </c>
      <c r="T71" s="32">
        <f t="shared" si="4"/>
        <v>0</v>
      </c>
      <c r="U71" s="32">
        <f t="shared" si="5"/>
        <v>0</v>
      </c>
      <c r="V71" s="32">
        <f t="shared" si="6"/>
        <v>0</v>
      </c>
      <c r="W71" s="32">
        <f t="shared" si="7"/>
        <v>0</v>
      </c>
    </row>
    <row r="72" spans="1:23">
      <c r="A72" s="77"/>
      <c r="B72" s="76"/>
      <c r="C72" s="77"/>
      <c r="D72" s="81"/>
      <c r="E72" s="82"/>
      <c r="F72" s="82"/>
      <c r="G72" s="83"/>
      <c r="H72" s="84"/>
      <c r="I72" s="85"/>
      <c r="J72" s="85"/>
      <c r="K72" s="85"/>
      <c r="L72" s="85"/>
      <c r="M72" s="93" t="e">
        <f>#REF!&amp;" "&amp;ContractorPayroll[[#This Row],[Employee ID Number / Code]]</f>
        <v>#REF!</v>
      </c>
      <c r="N72" s="71" t="str">
        <f>_xlfn.IFNA(IF(C72="","",VLOOKUP(ContractorPayroll[[#This Row],[Position / Title]],Lists!I:K,3,FALSE)),"")</f>
        <v/>
      </c>
      <c r="O72" s="42" t="str">
        <f>IF(ContractorPayroll[[#This Row],[Position / Title]]="","",VLOOKUP(ContractorPayroll[[#This Row],[Position / Title]],Lists!I:K,2,FALSE))</f>
        <v/>
      </c>
      <c r="P72" s="22" t="str">
        <f>IF(D72="","",ContractorPayroll[[#This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2" s="31">
        <f>IFERROR(IF(ContractorPayroll[[#This Row],[Annual Cost of Wage Increase included in Rate Adjustment]]=0,0,R72*'Facility Info Input'!$F$10),0)</f>
        <v>0</v>
      </c>
      <c r="T72" s="32">
        <f t="shared" si="4"/>
        <v>0</v>
      </c>
      <c r="U72" s="32">
        <f t="shared" si="5"/>
        <v>0</v>
      </c>
      <c r="V72" s="32">
        <f t="shared" si="6"/>
        <v>0</v>
      </c>
      <c r="W72" s="32">
        <f t="shared" si="7"/>
        <v>0</v>
      </c>
    </row>
    <row r="73" spans="1:23">
      <c r="A73" s="77"/>
      <c r="B73" s="76"/>
      <c r="C73" s="77"/>
      <c r="D73" s="81"/>
      <c r="E73" s="82"/>
      <c r="F73" s="82"/>
      <c r="G73" s="83"/>
      <c r="H73" s="84"/>
      <c r="I73" s="85"/>
      <c r="J73" s="85"/>
      <c r="K73" s="85"/>
      <c r="L73" s="85"/>
      <c r="M73" s="93" t="e">
        <f>#REF!&amp;" "&amp;ContractorPayroll[[#This Row],[Employee ID Number / Code]]</f>
        <v>#REF!</v>
      </c>
      <c r="N73" s="71" t="str">
        <f>_xlfn.IFNA(IF(C73="","",VLOOKUP(ContractorPayroll[[#This Row],[Position / Title]],Lists!I:K,3,FALSE)),"")</f>
        <v/>
      </c>
      <c r="O73" s="42" t="str">
        <f>IF(ContractorPayroll[[#This Row],[Position / Title]]="","",VLOOKUP(ContractorPayroll[[#This Row],[Position / Title]],Lists!I:K,2,FALSE))</f>
        <v/>
      </c>
      <c r="P73" s="22" t="str">
        <f>IF(D73="","",ContractorPayroll[[#This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3" s="31">
        <f>IFERROR(IF(ContractorPayroll[[#This Row],[Annual Cost of Wage Increase included in Rate Adjustment]]=0,0,R73*'Facility Info Input'!$F$10),0)</f>
        <v>0</v>
      </c>
      <c r="T73" s="32">
        <f t="shared" si="4"/>
        <v>0</v>
      </c>
      <c r="U73" s="32">
        <f t="shared" si="5"/>
        <v>0</v>
      </c>
      <c r="V73" s="32">
        <f t="shared" si="6"/>
        <v>0</v>
      </c>
      <c r="W73" s="32">
        <f t="shared" si="7"/>
        <v>0</v>
      </c>
    </row>
    <row r="74" spans="1:23">
      <c r="A74" s="77"/>
      <c r="B74" s="76"/>
      <c r="C74" s="77"/>
      <c r="D74" s="81"/>
      <c r="E74" s="82"/>
      <c r="F74" s="82"/>
      <c r="G74" s="83"/>
      <c r="H74" s="84"/>
      <c r="I74" s="85"/>
      <c r="J74" s="85"/>
      <c r="K74" s="85"/>
      <c r="L74" s="85"/>
      <c r="M74" s="93" t="e">
        <f>#REF!&amp;" "&amp;ContractorPayroll[[#This Row],[Employee ID Number / Code]]</f>
        <v>#REF!</v>
      </c>
      <c r="N74" s="71" t="str">
        <f>_xlfn.IFNA(IF(C74="","",VLOOKUP(ContractorPayroll[[#This Row],[Position / Title]],Lists!I:K,3,FALSE)),"")</f>
        <v/>
      </c>
      <c r="O74" s="42" t="str">
        <f>IF(ContractorPayroll[[#This Row],[Position / Title]]="","",VLOOKUP(ContractorPayroll[[#This Row],[Position / Title]],Lists!I:K,2,FALSE))</f>
        <v/>
      </c>
      <c r="P74" s="22" t="str">
        <f>IF(D74="","",ContractorPayroll[[#This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4" s="31">
        <f>IFERROR(IF(ContractorPayroll[[#This Row],[Annual Cost of Wage Increase included in Rate Adjustment]]=0,0,R74*'Facility Info Input'!$F$10),0)</f>
        <v>0</v>
      </c>
      <c r="T74" s="32">
        <f t="shared" si="4"/>
        <v>0</v>
      </c>
      <c r="U74" s="32">
        <f t="shared" si="5"/>
        <v>0</v>
      </c>
      <c r="V74" s="32">
        <f t="shared" si="6"/>
        <v>0</v>
      </c>
      <c r="W74" s="32">
        <f t="shared" si="7"/>
        <v>0</v>
      </c>
    </row>
    <row r="75" spans="1:23">
      <c r="A75" s="77"/>
      <c r="B75" s="76"/>
      <c r="C75" s="77"/>
      <c r="D75" s="81"/>
      <c r="E75" s="82"/>
      <c r="F75" s="82"/>
      <c r="G75" s="83"/>
      <c r="H75" s="84"/>
      <c r="I75" s="85"/>
      <c r="J75" s="85"/>
      <c r="K75" s="85"/>
      <c r="L75" s="85"/>
      <c r="M75" s="93" t="e">
        <f>#REF!&amp;" "&amp;ContractorPayroll[[#This Row],[Employee ID Number / Code]]</f>
        <v>#REF!</v>
      </c>
      <c r="N75" s="71" t="str">
        <f>_xlfn.IFNA(IF(C75="","",VLOOKUP(ContractorPayroll[[#This Row],[Position / Title]],Lists!I:K,3,FALSE)),"")</f>
        <v/>
      </c>
      <c r="O75" s="42" t="str">
        <f>IF(ContractorPayroll[[#This Row],[Position / Title]]="","",VLOOKUP(ContractorPayroll[[#This Row],[Position / Title]],Lists!I:K,2,FALSE))</f>
        <v/>
      </c>
      <c r="P75" s="22" t="str">
        <f>IF(D75="","",ContractorPayroll[[#This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5" s="31">
        <f>IFERROR(IF(ContractorPayroll[[#This Row],[Annual Cost of Wage Increase included in Rate Adjustment]]=0,0,R75*'Facility Info Input'!$F$10),0)</f>
        <v>0</v>
      </c>
      <c r="T75" s="32">
        <f t="shared" si="4"/>
        <v>0</v>
      </c>
      <c r="U75" s="32">
        <f t="shared" si="5"/>
        <v>0</v>
      </c>
      <c r="V75" s="32">
        <f t="shared" si="6"/>
        <v>0</v>
      </c>
      <c r="W75" s="32">
        <f t="shared" si="7"/>
        <v>0</v>
      </c>
    </row>
    <row r="76" spans="1:23">
      <c r="A76" s="77"/>
      <c r="B76" s="76"/>
      <c r="C76" s="77"/>
      <c r="D76" s="81"/>
      <c r="E76" s="82"/>
      <c r="F76" s="82"/>
      <c r="G76" s="83"/>
      <c r="H76" s="84"/>
      <c r="I76" s="85"/>
      <c r="J76" s="85"/>
      <c r="K76" s="85"/>
      <c r="L76" s="85"/>
      <c r="M76" s="93" t="e">
        <f>#REF!&amp;" "&amp;ContractorPayroll[[#This Row],[Employee ID Number / Code]]</f>
        <v>#REF!</v>
      </c>
      <c r="N76" s="71" t="str">
        <f>_xlfn.IFNA(IF(C76="","",VLOOKUP(ContractorPayroll[[#This Row],[Position / Title]],Lists!I:K,3,FALSE)),"")</f>
        <v/>
      </c>
      <c r="O76" s="42" t="str">
        <f>IF(ContractorPayroll[[#This Row],[Position / Title]]="","",VLOOKUP(ContractorPayroll[[#This Row],[Position / Title]],Lists!I:K,2,FALSE))</f>
        <v/>
      </c>
      <c r="P76" s="22" t="str">
        <f>IF(D76="","",ContractorPayroll[[#This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6" s="31">
        <f>IFERROR(IF(ContractorPayroll[[#This Row],[Annual Cost of Wage Increase included in Rate Adjustment]]=0,0,R76*'Facility Info Input'!$F$10),0)</f>
        <v>0</v>
      </c>
      <c r="T76" s="32">
        <f t="shared" si="4"/>
        <v>0</v>
      </c>
      <c r="U76" s="32">
        <f t="shared" si="5"/>
        <v>0</v>
      </c>
      <c r="V76" s="32">
        <f t="shared" si="6"/>
        <v>0</v>
      </c>
      <c r="W76" s="32">
        <f t="shared" si="7"/>
        <v>0</v>
      </c>
    </row>
    <row r="77" spans="1:23">
      <c r="A77" s="77"/>
      <c r="B77" s="76"/>
      <c r="C77" s="77"/>
      <c r="D77" s="81"/>
      <c r="E77" s="82"/>
      <c r="F77" s="82"/>
      <c r="G77" s="83"/>
      <c r="H77" s="84"/>
      <c r="I77" s="85"/>
      <c r="J77" s="85"/>
      <c r="K77" s="85"/>
      <c r="L77" s="85"/>
      <c r="M77" s="93" t="e">
        <f>#REF!&amp;" "&amp;ContractorPayroll[[#This Row],[Employee ID Number / Code]]</f>
        <v>#REF!</v>
      </c>
      <c r="N77" s="71" t="str">
        <f>_xlfn.IFNA(IF(C77="","",VLOOKUP(ContractorPayroll[[#This Row],[Position / Title]],Lists!I:K,3,FALSE)),"")</f>
        <v/>
      </c>
      <c r="O77" s="42" t="str">
        <f>IF(ContractorPayroll[[#This Row],[Position / Title]]="","",VLOOKUP(ContractorPayroll[[#This Row],[Position / Title]],Lists!I:K,2,FALSE))</f>
        <v/>
      </c>
      <c r="P77" s="22" t="str">
        <f>IF(D77="","",ContractorPayroll[[#This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7" s="31">
        <f>IFERROR(IF(ContractorPayroll[[#This Row],[Annual Cost of Wage Increase included in Rate Adjustment]]=0,0,R77*'Facility Info Input'!$F$10),0)</f>
        <v>0</v>
      </c>
      <c r="T77" s="32">
        <f t="shared" si="4"/>
        <v>0</v>
      </c>
      <c r="U77" s="32">
        <f t="shared" si="5"/>
        <v>0</v>
      </c>
      <c r="V77" s="32">
        <f t="shared" si="6"/>
        <v>0</v>
      </c>
      <c r="W77" s="32">
        <f t="shared" si="7"/>
        <v>0</v>
      </c>
    </row>
    <row r="78" spans="1:23">
      <c r="A78" s="77"/>
      <c r="B78" s="76"/>
      <c r="C78" s="77"/>
      <c r="D78" s="81"/>
      <c r="E78" s="82"/>
      <c r="F78" s="82"/>
      <c r="G78" s="83"/>
      <c r="H78" s="84"/>
      <c r="I78" s="85"/>
      <c r="J78" s="85"/>
      <c r="K78" s="85"/>
      <c r="L78" s="85"/>
      <c r="M78" s="93" t="e">
        <f>#REF!&amp;" "&amp;ContractorPayroll[[#This Row],[Employee ID Number / Code]]</f>
        <v>#REF!</v>
      </c>
      <c r="N78" s="71" t="str">
        <f>_xlfn.IFNA(IF(C78="","",VLOOKUP(ContractorPayroll[[#This Row],[Position / Title]],Lists!I:K,3,FALSE)),"")</f>
        <v/>
      </c>
      <c r="O78" s="42" t="str">
        <f>IF(ContractorPayroll[[#This Row],[Position / Title]]="","",VLOOKUP(ContractorPayroll[[#This Row],[Position / Title]],Lists!I:K,2,FALSE))</f>
        <v/>
      </c>
      <c r="P78" s="22" t="str">
        <f>IF(D78="","",ContractorPayroll[[#This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8" s="31">
        <f>IFERROR(IF(ContractorPayroll[[#This Row],[Annual Cost of Wage Increase included in Rate Adjustment]]=0,0,R78*'Facility Info Input'!$F$10),0)</f>
        <v>0</v>
      </c>
      <c r="T78" s="32">
        <f t="shared" si="4"/>
        <v>0</v>
      </c>
      <c r="U78" s="32">
        <f t="shared" si="5"/>
        <v>0</v>
      </c>
      <c r="V78" s="32">
        <f t="shared" si="6"/>
        <v>0</v>
      </c>
      <c r="W78" s="32">
        <f t="shared" si="7"/>
        <v>0</v>
      </c>
    </row>
    <row r="79" spans="1:23">
      <c r="A79" s="77"/>
      <c r="B79" s="76"/>
      <c r="C79" s="77"/>
      <c r="D79" s="81"/>
      <c r="E79" s="82"/>
      <c r="F79" s="82"/>
      <c r="G79" s="83"/>
      <c r="H79" s="84"/>
      <c r="I79" s="85"/>
      <c r="J79" s="85"/>
      <c r="K79" s="85"/>
      <c r="L79" s="85"/>
      <c r="M79" s="93" t="e">
        <f>#REF!&amp;" "&amp;ContractorPayroll[[#This Row],[Employee ID Number / Code]]</f>
        <v>#REF!</v>
      </c>
      <c r="N79" s="71" t="str">
        <f>_xlfn.IFNA(IF(C79="","",VLOOKUP(ContractorPayroll[[#This Row],[Position / Title]],Lists!I:K,3,FALSE)),"")</f>
        <v/>
      </c>
      <c r="O79" s="42" t="str">
        <f>IF(ContractorPayroll[[#This Row],[Position / Title]]="","",VLOOKUP(ContractorPayroll[[#This Row],[Position / Title]],Lists!I:K,2,FALSE))</f>
        <v/>
      </c>
      <c r="P79" s="22" t="str">
        <f>IF(D79="","",ContractorPayroll[[#This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7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7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79" s="31">
        <f>IFERROR(IF(ContractorPayroll[[#This Row],[Annual Cost of Wage Increase included in Rate Adjustment]]=0,0,R79*'Facility Info Input'!$F$10),0)</f>
        <v>0</v>
      </c>
      <c r="T79" s="32">
        <f t="shared" si="4"/>
        <v>0</v>
      </c>
      <c r="U79" s="32">
        <f t="shared" si="5"/>
        <v>0</v>
      </c>
      <c r="V79" s="32">
        <f t="shared" si="6"/>
        <v>0</v>
      </c>
      <c r="W79" s="32">
        <f t="shared" si="7"/>
        <v>0</v>
      </c>
    </row>
    <row r="80" spans="1:23">
      <c r="A80" s="77"/>
      <c r="B80" s="76"/>
      <c r="C80" s="77"/>
      <c r="D80" s="81"/>
      <c r="E80" s="82"/>
      <c r="F80" s="82"/>
      <c r="G80" s="83"/>
      <c r="H80" s="84"/>
      <c r="I80" s="85"/>
      <c r="J80" s="85"/>
      <c r="K80" s="85"/>
      <c r="L80" s="85"/>
      <c r="M80" s="93" t="e">
        <f>#REF!&amp;" "&amp;ContractorPayroll[[#This Row],[Employee ID Number / Code]]</f>
        <v>#REF!</v>
      </c>
      <c r="N80" s="71" t="str">
        <f>_xlfn.IFNA(IF(C80="","",VLOOKUP(ContractorPayroll[[#This Row],[Position / Title]],Lists!I:K,3,FALSE)),"")</f>
        <v/>
      </c>
      <c r="O80" s="42" t="str">
        <f>IF(ContractorPayroll[[#This Row],[Position / Title]]="","",VLOOKUP(ContractorPayroll[[#This Row],[Position / Title]],Lists!I:K,2,FALSE))</f>
        <v/>
      </c>
      <c r="P80" s="22" t="str">
        <f>IF(D80="","",ContractorPayroll[[#This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0" s="31">
        <f>IFERROR(IF(ContractorPayroll[[#This Row],[Annual Cost of Wage Increase included in Rate Adjustment]]=0,0,R80*'Facility Info Input'!$F$10),0)</f>
        <v>0</v>
      </c>
      <c r="T80" s="32">
        <f t="shared" si="4"/>
        <v>0</v>
      </c>
      <c r="U80" s="32">
        <f t="shared" si="5"/>
        <v>0</v>
      </c>
      <c r="V80" s="32">
        <f t="shared" si="6"/>
        <v>0</v>
      </c>
      <c r="W80" s="32">
        <f t="shared" si="7"/>
        <v>0</v>
      </c>
    </row>
    <row r="81" spans="1:23">
      <c r="A81" s="77"/>
      <c r="B81" s="76"/>
      <c r="C81" s="77"/>
      <c r="D81" s="81"/>
      <c r="E81" s="82"/>
      <c r="F81" s="82"/>
      <c r="G81" s="83"/>
      <c r="H81" s="84"/>
      <c r="I81" s="85"/>
      <c r="J81" s="85"/>
      <c r="K81" s="85"/>
      <c r="L81" s="85"/>
      <c r="M81" s="93" t="e">
        <f>#REF!&amp;" "&amp;ContractorPayroll[[#This Row],[Employee ID Number / Code]]</f>
        <v>#REF!</v>
      </c>
      <c r="N81" s="71" t="str">
        <f>_xlfn.IFNA(IF(C81="","",VLOOKUP(ContractorPayroll[[#This Row],[Position / Title]],Lists!I:K,3,FALSE)),"")</f>
        <v/>
      </c>
      <c r="O81" s="42" t="str">
        <f>IF(ContractorPayroll[[#This Row],[Position / Title]]="","",VLOOKUP(ContractorPayroll[[#This Row],[Position / Title]],Lists!I:K,2,FALSE))</f>
        <v/>
      </c>
      <c r="P81" s="22" t="str">
        <f>IF(D81="","",ContractorPayroll[[#This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1" s="31">
        <f>IFERROR(IF(ContractorPayroll[[#This Row],[Annual Cost of Wage Increase included in Rate Adjustment]]=0,0,R81*'Facility Info Input'!$F$10),0)</f>
        <v>0</v>
      </c>
      <c r="T81" s="32">
        <f t="shared" si="4"/>
        <v>0</v>
      </c>
      <c r="U81" s="32">
        <f t="shared" si="5"/>
        <v>0</v>
      </c>
      <c r="V81" s="32">
        <f t="shared" si="6"/>
        <v>0</v>
      </c>
      <c r="W81" s="32">
        <f t="shared" si="7"/>
        <v>0</v>
      </c>
    </row>
    <row r="82" spans="1:23">
      <c r="A82" s="77"/>
      <c r="B82" s="76"/>
      <c r="C82" s="77"/>
      <c r="D82" s="81"/>
      <c r="E82" s="82"/>
      <c r="F82" s="82"/>
      <c r="G82" s="83"/>
      <c r="H82" s="84"/>
      <c r="I82" s="85"/>
      <c r="J82" s="85"/>
      <c r="K82" s="85"/>
      <c r="L82" s="85"/>
      <c r="M82" s="93" t="e">
        <f>#REF!&amp;" "&amp;ContractorPayroll[[#This Row],[Employee ID Number / Code]]</f>
        <v>#REF!</v>
      </c>
      <c r="N82" s="71" t="str">
        <f>_xlfn.IFNA(IF(C82="","",VLOOKUP(ContractorPayroll[[#This Row],[Position / Title]],Lists!I:K,3,FALSE)),"")</f>
        <v/>
      </c>
      <c r="O82" s="42" t="str">
        <f>IF(ContractorPayroll[[#This Row],[Position / Title]]="","",VLOOKUP(ContractorPayroll[[#This Row],[Position / Title]],Lists!I:K,2,FALSE))</f>
        <v/>
      </c>
      <c r="P82" s="22" t="str">
        <f>IF(D82="","",ContractorPayroll[[#This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2" s="31">
        <f>IFERROR(IF(ContractorPayroll[[#This Row],[Annual Cost of Wage Increase included in Rate Adjustment]]=0,0,R82*'Facility Info Input'!$F$10),0)</f>
        <v>0</v>
      </c>
      <c r="T82" s="32">
        <f t="shared" si="4"/>
        <v>0</v>
      </c>
      <c r="U82" s="32">
        <f t="shared" si="5"/>
        <v>0</v>
      </c>
      <c r="V82" s="32">
        <f t="shared" si="6"/>
        <v>0</v>
      </c>
      <c r="W82" s="32">
        <f t="shared" si="7"/>
        <v>0</v>
      </c>
    </row>
    <row r="83" spans="1:23">
      <c r="A83" s="77"/>
      <c r="B83" s="76"/>
      <c r="C83" s="77"/>
      <c r="D83" s="81"/>
      <c r="E83" s="82"/>
      <c r="F83" s="82"/>
      <c r="G83" s="83"/>
      <c r="H83" s="84"/>
      <c r="I83" s="85"/>
      <c r="J83" s="85"/>
      <c r="K83" s="85"/>
      <c r="L83" s="85"/>
      <c r="M83" s="93" t="e">
        <f>#REF!&amp;" "&amp;ContractorPayroll[[#This Row],[Employee ID Number / Code]]</f>
        <v>#REF!</v>
      </c>
      <c r="N83" s="71" t="str">
        <f>_xlfn.IFNA(IF(C83="","",VLOOKUP(ContractorPayroll[[#This Row],[Position / Title]],Lists!I:K,3,FALSE)),"")</f>
        <v/>
      </c>
      <c r="O83" s="42" t="str">
        <f>IF(ContractorPayroll[[#This Row],[Position / Title]]="","",VLOOKUP(ContractorPayroll[[#This Row],[Position / Title]],Lists!I:K,2,FALSE))</f>
        <v/>
      </c>
      <c r="P83" s="22" t="str">
        <f>IF(D83="","",ContractorPayroll[[#This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3" s="31">
        <f>IFERROR(IF(ContractorPayroll[[#This Row],[Annual Cost of Wage Increase included in Rate Adjustment]]=0,0,R83*'Facility Info Input'!$F$10),0)</f>
        <v>0</v>
      </c>
      <c r="T83" s="32">
        <f t="shared" si="4"/>
        <v>0</v>
      </c>
      <c r="U83" s="32">
        <f t="shared" si="5"/>
        <v>0</v>
      </c>
      <c r="V83" s="32">
        <f t="shared" si="6"/>
        <v>0</v>
      </c>
      <c r="W83" s="32">
        <f t="shared" si="7"/>
        <v>0</v>
      </c>
    </row>
    <row r="84" spans="1:23">
      <c r="A84" s="77"/>
      <c r="B84" s="76"/>
      <c r="C84" s="77"/>
      <c r="D84" s="81"/>
      <c r="E84" s="82"/>
      <c r="F84" s="82"/>
      <c r="G84" s="83"/>
      <c r="H84" s="84"/>
      <c r="I84" s="85"/>
      <c r="J84" s="85"/>
      <c r="K84" s="85"/>
      <c r="L84" s="85"/>
      <c r="M84" s="93" t="e">
        <f>#REF!&amp;" "&amp;ContractorPayroll[[#This Row],[Employee ID Number / Code]]</f>
        <v>#REF!</v>
      </c>
      <c r="N84" s="71" t="str">
        <f>_xlfn.IFNA(IF(C84="","",VLOOKUP(ContractorPayroll[[#This Row],[Position / Title]],Lists!I:K,3,FALSE)),"")</f>
        <v/>
      </c>
      <c r="O84" s="42" t="str">
        <f>IF(ContractorPayroll[[#This Row],[Position / Title]]="","",VLOOKUP(ContractorPayroll[[#This Row],[Position / Title]],Lists!I:K,2,FALSE))</f>
        <v/>
      </c>
      <c r="P84" s="22" t="str">
        <f>IF(D84="","",ContractorPayroll[[#This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4" s="31">
        <f>IFERROR(IF(ContractorPayroll[[#This Row],[Annual Cost of Wage Increase included in Rate Adjustment]]=0,0,R84*'Facility Info Input'!$F$10),0)</f>
        <v>0</v>
      </c>
      <c r="T84" s="32">
        <f t="shared" si="4"/>
        <v>0</v>
      </c>
      <c r="U84" s="32">
        <f t="shared" si="5"/>
        <v>0</v>
      </c>
      <c r="V84" s="32">
        <f t="shared" si="6"/>
        <v>0</v>
      </c>
      <c r="W84" s="32">
        <f t="shared" si="7"/>
        <v>0</v>
      </c>
    </row>
    <row r="85" spans="1:23">
      <c r="A85" s="77"/>
      <c r="B85" s="76"/>
      <c r="C85" s="77"/>
      <c r="D85" s="81"/>
      <c r="E85" s="82"/>
      <c r="F85" s="82"/>
      <c r="G85" s="83"/>
      <c r="H85" s="84"/>
      <c r="I85" s="85"/>
      <c r="J85" s="85"/>
      <c r="K85" s="85"/>
      <c r="L85" s="85"/>
      <c r="M85" s="93" t="e">
        <f>#REF!&amp;" "&amp;ContractorPayroll[[#This Row],[Employee ID Number / Code]]</f>
        <v>#REF!</v>
      </c>
      <c r="N85" s="71" t="str">
        <f>_xlfn.IFNA(IF(C85="","",VLOOKUP(ContractorPayroll[[#This Row],[Position / Title]],Lists!I:K,3,FALSE)),"")</f>
        <v/>
      </c>
      <c r="O85" s="42" t="str">
        <f>IF(ContractorPayroll[[#This Row],[Position / Title]]="","",VLOOKUP(ContractorPayroll[[#This Row],[Position / Title]],Lists!I:K,2,FALSE))</f>
        <v/>
      </c>
      <c r="P85" s="22" t="str">
        <f>IF(D85="","",ContractorPayroll[[#This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5" s="31">
        <f>IFERROR(IF(ContractorPayroll[[#This Row],[Annual Cost of Wage Increase included in Rate Adjustment]]=0,0,R85*'Facility Info Input'!$F$10),0)</f>
        <v>0</v>
      </c>
      <c r="T85" s="32">
        <f t="shared" si="4"/>
        <v>0</v>
      </c>
      <c r="U85" s="32">
        <f t="shared" si="5"/>
        <v>0</v>
      </c>
      <c r="V85" s="32">
        <f t="shared" si="6"/>
        <v>0</v>
      </c>
      <c r="W85" s="32">
        <f t="shared" si="7"/>
        <v>0</v>
      </c>
    </row>
    <row r="86" spans="1:23">
      <c r="A86" s="77"/>
      <c r="B86" s="76"/>
      <c r="C86" s="77"/>
      <c r="D86" s="81"/>
      <c r="E86" s="82"/>
      <c r="F86" s="82"/>
      <c r="G86" s="83"/>
      <c r="H86" s="84"/>
      <c r="I86" s="85"/>
      <c r="J86" s="85"/>
      <c r="K86" s="85"/>
      <c r="L86" s="85"/>
      <c r="M86" s="93" t="e">
        <f>#REF!&amp;" "&amp;ContractorPayroll[[#This Row],[Employee ID Number / Code]]</f>
        <v>#REF!</v>
      </c>
      <c r="N86" s="71" t="str">
        <f>_xlfn.IFNA(IF(C86="","",VLOOKUP(ContractorPayroll[[#This Row],[Position / Title]],Lists!I:K,3,FALSE)),"")</f>
        <v/>
      </c>
      <c r="O86" s="42" t="str">
        <f>IF(ContractorPayroll[[#This Row],[Position / Title]]="","",VLOOKUP(ContractorPayroll[[#This Row],[Position / Title]],Lists!I:K,2,FALSE))</f>
        <v/>
      </c>
      <c r="P86" s="22" t="str">
        <f>IF(D86="","",ContractorPayroll[[#This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6" s="31">
        <f>IFERROR(IF(ContractorPayroll[[#This Row],[Annual Cost of Wage Increase included in Rate Adjustment]]=0,0,R86*'Facility Info Input'!$F$10),0)</f>
        <v>0</v>
      </c>
      <c r="T86" s="32">
        <f t="shared" si="4"/>
        <v>0</v>
      </c>
      <c r="U86" s="32">
        <f t="shared" si="5"/>
        <v>0</v>
      </c>
      <c r="V86" s="32">
        <f t="shared" si="6"/>
        <v>0</v>
      </c>
      <c r="W86" s="32">
        <f t="shared" si="7"/>
        <v>0</v>
      </c>
    </row>
    <row r="87" spans="1:23">
      <c r="A87" s="77"/>
      <c r="B87" s="76"/>
      <c r="C87" s="77"/>
      <c r="D87" s="81"/>
      <c r="E87" s="82"/>
      <c r="F87" s="82"/>
      <c r="G87" s="83"/>
      <c r="H87" s="84"/>
      <c r="I87" s="85"/>
      <c r="J87" s="85"/>
      <c r="K87" s="85"/>
      <c r="L87" s="85"/>
      <c r="M87" s="93" t="e">
        <f>#REF!&amp;" "&amp;ContractorPayroll[[#This Row],[Employee ID Number / Code]]</f>
        <v>#REF!</v>
      </c>
      <c r="N87" s="71" t="str">
        <f>_xlfn.IFNA(IF(C87="","",VLOOKUP(ContractorPayroll[[#This Row],[Position / Title]],Lists!I:K,3,FALSE)),"")</f>
        <v/>
      </c>
      <c r="O87" s="42" t="str">
        <f>IF(ContractorPayroll[[#This Row],[Position / Title]]="","",VLOOKUP(ContractorPayroll[[#This Row],[Position / Title]],Lists!I:K,2,FALSE))</f>
        <v/>
      </c>
      <c r="P87" s="22" t="str">
        <f>IF(D87="","",ContractorPayroll[[#This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7" s="31">
        <f>IFERROR(IF(ContractorPayroll[[#This Row],[Annual Cost of Wage Increase included in Rate Adjustment]]=0,0,R87*'Facility Info Input'!$F$10),0)</f>
        <v>0</v>
      </c>
      <c r="T87" s="32">
        <f t="shared" si="4"/>
        <v>0</v>
      </c>
      <c r="U87" s="32">
        <f t="shared" si="5"/>
        <v>0</v>
      </c>
      <c r="V87" s="32">
        <f t="shared" si="6"/>
        <v>0</v>
      </c>
      <c r="W87" s="32">
        <f t="shared" si="7"/>
        <v>0</v>
      </c>
    </row>
    <row r="88" spans="1:23">
      <c r="A88" s="77"/>
      <c r="B88" s="76"/>
      <c r="C88" s="77"/>
      <c r="D88" s="81"/>
      <c r="E88" s="82"/>
      <c r="F88" s="82"/>
      <c r="G88" s="83"/>
      <c r="H88" s="84"/>
      <c r="I88" s="85"/>
      <c r="J88" s="85"/>
      <c r="K88" s="85"/>
      <c r="L88" s="85"/>
      <c r="M88" s="93" t="e">
        <f>#REF!&amp;" "&amp;ContractorPayroll[[#This Row],[Employee ID Number / Code]]</f>
        <v>#REF!</v>
      </c>
      <c r="N88" s="71" t="str">
        <f>_xlfn.IFNA(IF(C88="","",VLOOKUP(ContractorPayroll[[#This Row],[Position / Title]],Lists!I:K,3,FALSE)),"")</f>
        <v/>
      </c>
      <c r="O88" s="42" t="str">
        <f>IF(ContractorPayroll[[#This Row],[Position / Title]]="","",VLOOKUP(ContractorPayroll[[#This Row],[Position / Title]],Lists!I:K,2,FALSE))</f>
        <v/>
      </c>
      <c r="P88" s="22" t="str">
        <f>IF(D88="","",ContractorPayroll[[#This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8" s="31">
        <f>IFERROR(IF(ContractorPayroll[[#This Row],[Annual Cost of Wage Increase included in Rate Adjustment]]=0,0,R88*'Facility Info Input'!$F$10),0)</f>
        <v>0</v>
      </c>
      <c r="T88" s="32">
        <f t="shared" si="4"/>
        <v>0</v>
      </c>
      <c r="U88" s="32">
        <f t="shared" si="5"/>
        <v>0</v>
      </c>
      <c r="V88" s="32">
        <f t="shared" si="6"/>
        <v>0</v>
      </c>
      <c r="W88" s="32">
        <f t="shared" si="7"/>
        <v>0</v>
      </c>
    </row>
    <row r="89" spans="1:23">
      <c r="A89" s="77"/>
      <c r="B89" s="76"/>
      <c r="C89" s="77"/>
      <c r="D89" s="81"/>
      <c r="E89" s="82"/>
      <c r="F89" s="82"/>
      <c r="G89" s="83"/>
      <c r="H89" s="84"/>
      <c r="I89" s="85"/>
      <c r="J89" s="85"/>
      <c r="K89" s="85"/>
      <c r="L89" s="85"/>
      <c r="M89" s="93" t="e">
        <f>#REF!&amp;" "&amp;ContractorPayroll[[#This Row],[Employee ID Number / Code]]</f>
        <v>#REF!</v>
      </c>
      <c r="N89" s="71" t="str">
        <f>_xlfn.IFNA(IF(C89="","",VLOOKUP(ContractorPayroll[[#This Row],[Position / Title]],Lists!I:K,3,FALSE)),"")</f>
        <v/>
      </c>
      <c r="O89" s="42" t="str">
        <f>IF(ContractorPayroll[[#This Row],[Position / Title]]="","",VLOOKUP(ContractorPayroll[[#This Row],[Position / Title]],Lists!I:K,2,FALSE))</f>
        <v/>
      </c>
      <c r="P89" s="22" t="str">
        <f>IF(D89="","",ContractorPayroll[[#This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8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8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89" s="31">
        <f>IFERROR(IF(ContractorPayroll[[#This Row],[Annual Cost of Wage Increase included in Rate Adjustment]]=0,0,R89*'Facility Info Input'!$F$10),0)</f>
        <v>0</v>
      </c>
      <c r="T89" s="32">
        <f t="shared" si="4"/>
        <v>0</v>
      </c>
      <c r="U89" s="32">
        <f t="shared" si="5"/>
        <v>0</v>
      </c>
      <c r="V89" s="32">
        <f t="shared" si="6"/>
        <v>0</v>
      </c>
      <c r="W89" s="32">
        <f t="shared" si="7"/>
        <v>0</v>
      </c>
    </row>
    <row r="90" spans="1:23">
      <c r="A90" s="77"/>
      <c r="B90" s="76"/>
      <c r="C90" s="77"/>
      <c r="D90" s="81"/>
      <c r="E90" s="82"/>
      <c r="F90" s="82"/>
      <c r="G90" s="83"/>
      <c r="H90" s="84"/>
      <c r="I90" s="85"/>
      <c r="J90" s="85"/>
      <c r="K90" s="85"/>
      <c r="L90" s="85"/>
      <c r="M90" s="93" t="e">
        <f>#REF!&amp;" "&amp;ContractorPayroll[[#This Row],[Employee ID Number / Code]]</f>
        <v>#REF!</v>
      </c>
      <c r="N90" s="71" t="str">
        <f>_xlfn.IFNA(IF(C90="","",VLOOKUP(ContractorPayroll[[#This Row],[Position / Title]],Lists!I:K,3,FALSE)),"")</f>
        <v/>
      </c>
      <c r="O90" s="42" t="str">
        <f>IF(ContractorPayroll[[#This Row],[Position / Title]]="","",VLOOKUP(ContractorPayroll[[#This Row],[Position / Title]],Lists!I:K,2,FALSE))</f>
        <v/>
      </c>
      <c r="P90" s="22" t="str">
        <f>IF(D90="","",ContractorPayroll[[#This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0" s="31">
        <f>IFERROR(IF(ContractorPayroll[[#This Row],[Annual Cost of Wage Increase included in Rate Adjustment]]=0,0,R90*'Facility Info Input'!$F$10),0)</f>
        <v>0</v>
      </c>
      <c r="T90" s="32">
        <f t="shared" si="4"/>
        <v>0</v>
      </c>
      <c r="U90" s="32">
        <f t="shared" si="5"/>
        <v>0</v>
      </c>
      <c r="V90" s="32">
        <f t="shared" si="6"/>
        <v>0</v>
      </c>
      <c r="W90" s="32">
        <f t="shared" si="7"/>
        <v>0</v>
      </c>
    </row>
    <row r="91" spans="1:23">
      <c r="A91" s="77"/>
      <c r="B91" s="76"/>
      <c r="C91" s="77"/>
      <c r="D91" s="81"/>
      <c r="E91" s="82"/>
      <c r="F91" s="82"/>
      <c r="G91" s="83"/>
      <c r="H91" s="84"/>
      <c r="I91" s="85"/>
      <c r="J91" s="85"/>
      <c r="K91" s="85"/>
      <c r="L91" s="85"/>
      <c r="M91" s="93" t="e">
        <f>#REF!&amp;" "&amp;ContractorPayroll[[#This Row],[Employee ID Number / Code]]</f>
        <v>#REF!</v>
      </c>
      <c r="N91" s="71" t="str">
        <f>_xlfn.IFNA(IF(C91="","",VLOOKUP(ContractorPayroll[[#This Row],[Position / Title]],Lists!I:K,3,FALSE)),"")</f>
        <v/>
      </c>
      <c r="O91" s="42" t="str">
        <f>IF(ContractorPayroll[[#This Row],[Position / Title]]="","",VLOOKUP(ContractorPayroll[[#This Row],[Position / Title]],Lists!I:K,2,FALSE))</f>
        <v/>
      </c>
      <c r="P91" s="22" t="str">
        <f>IF(D91="","",ContractorPayroll[[#This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1" s="31">
        <f>IFERROR(IF(ContractorPayroll[[#This Row],[Annual Cost of Wage Increase included in Rate Adjustment]]=0,0,R91*'Facility Info Input'!$F$10),0)</f>
        <v>0</v>
      </c>
      <c r="T91" s="32">
        <f t="shared" si="4"/>
        <v>0</v>
      </c>
      <c r="U91" s="32">
        <f t="shared" si="5"/>
        <v>0</v>
      </c>
      <c r="V91" s="32">
        <f t="shared" si="6"/>
        <v>0</v>
      </c>
      <c r="W91" s="32">
        <f t="shared" si="7"/>
        <v>0</v>
      </c>
    </row>
    <row r="92" spans="1:23">
      <c r="A92" s="77"/>
      <c r="B92" s="76"/>
      <c r="C92" s="77"/>
      <c r="D92" s="81"/>
      <c r="E92" s="82"/>
      <c r="F92" s="82"/>
      <c r="G92" s="83"/>
      <c r="H92" s="84"/>
      <c r="I92" s="85"/>
      <c r="J92" s="85"/>
      <c r="K92" s="85"/>
      <c r="L92" s="85"/>
      <c r="M92" s="93" t="e">
        <f>#REF!&amp;" "&amp;ContractorPayroll[[#This Row],[Employee ID Number / Code]]</f>
        <v>#REF!</v>
      </c>
      <c r="N92" s="71" t="str">
        <f>_xlfn.IFNA(IF(C92="","",VLOOKUP(ContractorPayroll[[#This Row],[Position / Title]],Lists!I:K,3,FALSE)),"")</f>
        <v/>
      </c>
      <c r="O92" s="42" t="str">
        <f>IF(ContractorPayroll[[#This Row],[Position / Title]]="","",VLOOKUP(ContractorPayroll[[#This Row],[Position / Title]],Lists!I:K,2,FALSE))</f>
        <v/>
      </c>
      <c r="P92" s="22" t="str">
        <f>IF(D92="","",ContractorPayroll[[#This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2" s="31">
        <f>IFERROR(IF(ContractorPayroll[[#This Row],[Annual Cost of Wage Increase included in Rate Adjustment]]=0,0,R92*'Facility Info Input'!$F$10),0)</f>
        <v>0</v>
      </c>
      <c r="T92" s="32">
        <f t="shared" si="4"/>
        <v>0</v>
      </c>
      <c r="U92" s="32">
        <f t="shared" si="5"/>
        <v>0</v>
      </c>
      <c r="V92" s="32">
        <f t="shared" si="6"/>
        <v>0</v>
      </c>
      <c r="W92" s="32">
        <f t="shared" si="7"/>
        <v>0</v>
      </c>
    </row>
    <row r="93" spans="1:23">
      <c r="A93" s="77"/>
      <c r="B93" s="76"/>
      <c r="C93" s="77"/>
      <c r="D93" s="81"/>
      <c r="E93" s="82"/>
      <c r="F93" s="82"/>
      <c r="G93" s="83"/>
      <c r="H93" s="84"/>
      <c r="I93" s="85"/>
      <c r="J93" s="85"/>
      <c r="K93" s="85"/>
      <c r="L93" s="85"/>
      <c r="M93" s="93" t="e">
        <f>#REF!&amp;" "&amp;ContractorPayroll[[#This Row],[Employee ID Number / Code]]</f>
        <v>#REF!</v>
      </c>
      <c r="N93" s="71" t="str">
        <f>_xlfn.IFNA(IF(C93="","",VLOOKUP(ContractorPayroll[[#This Row],[Position / Title]],Lists!I:K,3,FALSE)),"")</f>
        <v/>
      </c>
      <c r="O93" s="42" t="str">
        <f>IF(ContractorPayroll[[#This Row],[Position / Title]]="","",VLOOKUP(ContractorPayroll[[#This Row],[Position / Title]],Lists!I:K,2,FALSE))</f>
        <v/>
      </c>
      <c r="P93" s="22" t="str">
        <f>IF(D93="","",ContractorPayroll[[#This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3" s="31">
        <f>IFERROR(IF(ContractorPayroll[[#This Row],[Annual Cost of Wage Increase included in Rate Adjustment]]=0,0,R93*'Facility Info Input'!$F$10),0)</f>
        <v>0</v>
      </c>
      <c r="T93" s="32">
        <f t="shared" si="4"/>
        <v>0</v>
      </c>
      <c r="U93" s="32">
        <f t="shared" si="5"/>
        <v>0</v>
      </c>
      <c r="V93" s="32">
        <f t="shared" si="6"/>
        <v>0</v>
      </c>
      <c r="W93" s="32">
        <f t="shared" si="7"/>
        <v>0</v>
      </c>
    </row>
    <row r="94" spans="1:23">
      <c r="A94" s="77"/>
      <c r="B94" s="76"/>
      <c r="C94" s="77"/>
      <c r="D94" s="81"/>
      <c r="E94" s="82"/>
      <c r="F94" s="82"/>
      <c r="G94" s="83"/>
      <c r="H94" s="84"/>
      <c r="I94" s="85"/>
      <c r="J94" s="85"/>
      <c r="K94" s="85"/>
      <c r="L94" s="85"/>
      <c r="M94" s="93" t="e">
        <f>#REF!&amp;" "&amp;ContractorPayroll[[#This Row],[Employee ID Number / Code]]</f>
        <v>#REF!</v>
      </c>
      <c r="N94" s="71" t="str">
        <f>_xlfn.IFNA(IF(C94="","",VLOOKUP(ContractorPayroll[[#This Row],[Position / Title]],Lists!I:K,3,FALSE)),"")</f>
        <v/>
      </c>
      <c r="O94" s="42" t="str">
        <f>IF(ContractorPayroll[[#This Row],[Position / Title]]="","",VLOOKUP(ContractorPayroll[[#This Row],[Position / Title]],Lists!I:K,2,FALSE))</f>
        <v/>
      </c>
      <c r="P94" s="22" t="str">
        <f>IF(D94="","",ContractorPayroll[[#This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4" s="31">
        <f>IFERROR(IF(ContractorPayroll[[#This Row],[Annual Cost of Wage Increase included in Rate Adjustment]]=0,0,R94*'Facility Info Input'!$F$10),0)</f>
        <v>0</v>
      </c>
      <c r="T94" s="32">
        <f t="shared" si="4"/>
        <v>0</v>
      </c>
      <c r="U94" s="32">
        <f t="shared" si="5"/>
        <v>0</v>
      </c>
      <c r="V94" s="32">
        <f t="shared" si="6"/>
        <v>0</v>
      </c>
      <c r="W94" s="32">
        <f t="shared" si="7"/>
        <v>0</v>
      </c>
    </row>
    <row r="95" spans="1:23">
      <c r="A95" s="77"/>
      <c r="B95" s="76"/>
      <c r="C95" s="77"/>
      <c r="D95" s="81"/>
      <c r="E95" s="82"/>
      <c r="F95" s="82"/>
      <c r="G95" s="83"/>
      <c r="H95" s="84"/>
      <c r="I95" s="85"/>
      <c r="J95" s="85"/>
      <c r="K95" s="85"/>
      <c r="L95" s="85"/>
      <c r="M95" s="93" t="e">
        <f>#REF!&amp;" "&amp;ContractorPayroll[[#This Row],[Employee ID Number / Code]]</f>
        <v>#REF!</v>
      </c>
      <c r="N95" s="71" t="str">
        <f>_xlfn.IFNA(IF(C95="","",VLOOKUP(ContractorPayroll[[#This Row],[Position / Title]],Lists!I:K,3,FALSE)),"")</f>
        <v/>
      </c>
      <c r="O95" s="42" t="str">
        <f>IF(ContractorPayroll[[#This Row],[Position / Title]]="","",VLOOKUP(ContractorPayroll[[#This Row],[Position / Title]],Lists!I:K,2,FALSE))</f>
        <v/>
      </c>
      <c r="P95" s="22" t="str">
        <f>IF(D95="","",ContractorPayroll[[#This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5" s="31">
        <f>IFERROR(IF(ContractorPayroll[[#This Row],[Annual Cost of Wage Increase included in Rate Adjustment]]=0,0,R95*'Facility Info Input'!$F$10),0)</f>
        <v>0</v>
      </c>
      <c r="T95" s="32">
        <f t="shared" si="4"/>
        <v>0</v>
      </c>
      <c r="U95" s="32">
        <f t="shared" si="5"/>
        <v>0</v>
      </c>
      <c r="V95" s="32">
        <f t="shared" si="6"/>
        <v>0</v>
      </c>
      <c r="W95" s="32">
        <f t="shared" si="7"/>
        <v>0</v>
      </c>
    </row>
    <row r="96" spans="1:23">
      <c r="A96" s="77"/>
      <c r="B96" s="76"/>
      <c r="C96" s="77"/>
      <c r="D96" s="81"/>
      <c r="E96" s="82"/>
      <c r="F96" s="82"/>
      <c r="G96" s="83"/>
      <c r="H96" s="84"/>
      <c r="I96" s="85"/>
      <c r="J96" s="85"/>
      <c r="K96" s="85"/>
      <c r="L96" s="85"/>
      <c r="M96" s="93" t="e">
        <f>#REF!&amp;" "&amp;ContractorPayroll[[#This Row],[Employee ID Number / Code]]</f>
        <v>#REF!</v>
      </c>
      <c r="N96" s="71" t="str">
        <f>_xlfn.IFNA(IF(C96="","",VLOOKUP(ContractorPayroll[[#This Row],[Position / Title]],Lists!I:K,3,FALSE)),"")</f>
        <v/>
      </c>
      <c r="O96" s="42" t="str">
        <f>IF(ContractorPayroll[[#This Row],[Position / Title]]="","",VLOOKUP(ContractorPayroll[[#This Row],[Position / Title]],Lists!I:K,2,FALSE))</f>
        <v/>
      </c>
      <c r="P96" s="22" t="str">
        <f>IF(D96="","",ContractorPayroll[[#This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6" s="31">
        <f>IFERROR(IF(ContractorPayroll[[#This Row],[Annual Cost of Wage Increase included in Rate Adjustment]]=0,0,R96*'Facility Info Input'!$F$10),0)</f>
        <v>0</v>
      </c>
      <c r="T96" s="32">
        <f t="shared" si="4"/>
        <v>0</v>
      </c>
      <c r="U96" s="32">
        <f t="shared" si="5"/>
        <v>0</v>
      </c>
      <c r="V96" s="32">
        <f t="shared" si="6"/>
        <v>0</v>
      </c>
      <c r="W96" s="32">
        <f t="shared" si="7"/>
        <v>0</v>
      </c>
    </row>
    <row r="97" spans="1:23">
      <c r="A97" s="77"/>
      <c r="B97" s="76"/>
      <c r="C97" s="77"/>
      <c r="D97" s="81"/>
      <c r="E97" s="82"/>
      <c r="F97" s="82"/>
      <c r="G97" s="83"/>
      <c r="H97" s="84"/>
      <c r="I97" s="85"/>
      <c r="J97" s="85"/>
      <c r="K97" s="85"/>
      <c r="L97" s="85"/>
      <c r="M97" s="93" t="e">
        <f>#REF!&amp;" "&amp;ContractorPayroll[[#This Row],[Employee ID Number / Code]]</f>
        <v>#REF!</v>
      </c>
      <c r="N97" s="71" t="str">
        <f>_xlfn.IFNA(IF(C97="","",VLOOKUP(ContractorPayroll[[#This Row],[Position / Title]],Lists!I:K,3,FALSE)),"")</f>
        <v/>
      </c>
      <c r="O97" s="42" t="str">
        <f>IF(ContractorPayroll[[#This Row],[Position / Title]]="","",VLOOKUP(ContractorPayroll[[#This Row],[Position / Title]],Lists!I:K,2,FALSE))</f>
        <v/>
      </c>
      <c r="P97" s="22" t="str">
        <f>IF(D97="","",ContractorPayroll[[#This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7" s="31">
        <f>IFERROR(IF(ContractorPayroll[[#This Row],[Annual Cost of Wage Increase included in Rate Adjustment]]=0,0,R97*'Facility Info Input'!$F$10),0)</f>
        <v>0</v>
      </c>
      <c r="T97" s="32">
        <f t="shared" si="4"/>
        <v>0</v>
      </c>
      <c r="U97" s="32">
        <f t="shared" si="5"/>
        <v>0</v>
      </c>
      <c r="V97" s="32">
        <f t="shared" si="6"/>
        <v>0</v>
      </c>
      <c r="W97" s="32">
        <f t="shared" si="7"/>
        <v>0</v>
      </c>
    </row>
    <row r="98" spans="1:23">
      <c r="A98" s="77"/>
      <c r="B98" s="76"/>
      <c r="C98" s="77"/>
      <c r="D98" s="81"/>
      <c r="E98" s="82"/>
      <c r="F98" s="82"/>
      <c r="G98" s="83"/>
      <c r="H98" s="84"/>
      <c r="I98" s="85"/>
      <c r="J98" s="85"/>
      <c r="K98" s="85"/>
      <c r="L98" s="85"/>
      <c r="M98" s="93" t="e">
        <f>#REF!&amp;" "&amp;ContractorPayroll[[#This Row],[Employee ID Number / Code]]</f>
        <v>#REF!</v>
      </c>
      <c r="N98" s="71" t="str">
        <f>_xlfn.IFNA(IF(C98="","",VLOOKUP(ContractorPayroll[[#This Row],[Position / Title]],Lists!I:K,3,FALSE)),"")</f>
        <v/>
      </c>
      <c r="O98" s="42" t="str">
        <f>IF(ContractorPayroll[[#This Row],[Position / Title]]="","",VLOOKUP(ContractorPayroll[[#This Row],[Position / Title]],Lists!I:K,2,FALSE))</f>
        <v/>
      </c>
      <c r="P98" s="22" t="str">
        <f>IF(D98="","",ContractorPayroll[[#This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8" s="31">
        <f>IFERROR(IF(ContractorPayroll[[#This Row],[Annual Cost of Wage Increase included in Rate Adjustment]]=0,0,R98*'Facility Info Input'!$F$10),0)</f>
        <v>0</v>
      </c>
      <c r="T98" s="32">
        <f t="shared" si="4"/>
        <v>0</v>
      </c>
      <c r="U98" s="32">
        <f t="shared" si="5"/>
        <v>0</v>
      </c>
      <c r="V98" s="32">
        <f t="shared" si="6"/>
        <v>0</v>
      </c>
      <c r="W98" s="32">
        <f t="shared" si="7"/>
        <v>0</v>
      </c>
    </row>
    <row r="99" spans="1:23">
      <c r="A99" s="77"/>
      <c r="B99" s="76"/>
      <c r="C99" s="77"/>
      <c r="D99" s="81"/>
      <c r="E99" s="82"/>
      <c r="F99" s="82"/>
      <c r="G99" s="83"/>
      <c r="H99" s="84"/>
      <c r="I99" s="85"/>
      <c r="J99" s="85"/>
      <c r="K99" s="85"/>
      <c r="L99" s="85"/>
      <c r="M99" s="93" t="e">
        <f>#REF!&amp;" "&amp;ContractorPayroll[[#This Row],[Employee ID Number / Code]]</f>
        <v>#REF!</v>
      </c>
      <c r="N99" s="71" t="str">
        <f>_xlfn.IFNA(IF(C99="","",VLOOKUP(ContractorPayroll[[#This Row],[Position / Title]],Lists!I:K,3,FALSE)),"")</f>
        <v/>
      </c>
      <c r="O99" s="42" t="str">
        <f>IF(ContractorPayroll[[#This Row],[Position / Title]]="","",VLOOKUP(ContractorPayroll[[#This Row],[Position / Title]],Lists!I:K,2,FALSE))</f>
        <v/>
      </c>
      <c r="P99" s="22" t="str">
        <f>IF(D99="","",ContractorPayroll[[#This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9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9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99" s="31">
        <f>IFERROR(IF(ContractorPayroll[[#This Row],[Annual Cost of Wage Increase included in Rate Adjustment]]=0,0,R99*'Facility Info Input'!$F$10),0)</f>
        <v>0</v>
      </c>
      <c r="T99" s="32">
        <f t="shared" si="4"/>
        <v>0</v>
      </c>
      <c r="U99" s="32">
        <f t="shared" si="5"/>
        <v>0</v>
      </c>
      <c r="V99" s="32">
        <f t="shared" si="6"/>
        <v>0</v>
      </c>
      <c r="W99" s="32">
        <f t="shared" si="7"/>
        <v>0</v>
      </c>
    </row>
    <row r="100" spans="1:23">
      <c r="A100" s="77"/>
      <c r="B100" s="76"/>
      <c r="C100" s="77"/>
      <c r="D100" s="81"/>
      <c r="E100" s="82"/>
      <c r="F100" s="82"/>
      <c r="G100" s="83"/>
      <c r="H100" s="84"/>
      <c r="I100" s="85"/>
      <c r="J100" s="85"/>
      <c r="K100" s="85"/>
      <c r="L100" s="85"/>
      <c r="M100" s="93" t="e">
        <f>#REF!&amp;" "&amp;ContractorPayroll[[#This Row],[Employee ID Number / Code]]</f>
        <v>#REF!</v>
      </c>
      <c r="N100" s="71" t="str">
        <f>_xlfn.IFNA(IF(C100="","",VLOOKUP(ContractorPayroll[[#This Row],[Position / Title]],Lists!I:K,3,FALSE)),"")</f>
        <v/>
      </c>
      <c r="O100" s="42" t="str">
        <f>IF(ContractorPayroll[[#This Row],[Position / Title]]="","",VLOOKUP(ContractorPayroll[[#This Row],[Position / Title]],Lists!I:K,2,FALSE))</f>
        <v/>
      </c>
      <c r="P100" s="22" t="str">
        <f>IF(D100="","",ContractorPayroll[[#This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0" s="31">
        <f>IFERROR(IF(ContractorPayroll[[#This Row],[Annual Cost of Wage Increase included in Rate Adjustment]]=0,0,R100*'Facility Info Input'!$F$10),0)</f>
        <v>0</v>
      </c>
      <c r="T100" s="32">
        <f t="shared" si="4"/>
        <v>0</v>
      </c>
      <c r="U100" s="32">
        <f t="shared" si="5"/>
        <v>0</v>
      </c>
      <c r="V100" s="32">
        <f t="shared" si="6"/>
        <v>0</v>
      </c>
      <c r="W100" s="32">
        <f t="shared" si="7"/>
        <v>0</v>
      </c>
    </row>
    <row r="101" spans="1:23">
      <c r="A101" s="77"/>
      <c r="B101" s="76"/>
      <c r="C101" s="77"/>
      <c r="D101" s="81"/>
      <c r="E101" s="82"/>
      <c r="F101" s="82"/>
      <c r="G101" s="83"/>
      <c r="H101" s="84"/>
      <c r="I101" s="85"/>
      <c r="J101" s="85"/>
      <c r="K101" s="85"/>
      <c r="L101" s="85"/>
      <c r="M101" s="93" t="e">
        <f>#REF!&amp;" "&amp;ContractorPayroll[[#This Row],[Employee ID Number / Code]]</f>
        <v>#REF!</v>
      </c>
      <c r="N101" s="71" t="str">
        <f>_xlfn.IFNA(IF(C101="","",VLOOKUP(ContractorPayroll[[#This Row],[Position / Title]],Lists!I:K,3,FALSE)),"")</f>
        <v/>
      </c>
      <c r="O101" s="42" t="str">
        <f>IF(ContractorPayroll[[#This Row],[Position / Title]]="","",VLOOKUP(ContractorPayroll[[#This Row],[Position / Title]],Lists!I:K,2,FALSE))</f>
        <v/>
      </c>
      <c r="P101" s="22" t="str">
        <f>IF(D101="","",ContractorPayroll[[#This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1" s="31">
        <f>IFERROR(IF(ContractorPayroll[[#This Row],[Annual Cost of Wage Increase included in Rate Adjustment]]=0,0,R101*'Facility Info Input'!$F$10),0)</f>
        <v>0</v>
      </c>
      <c r="T101" s="32">
        <f t="shared" si="4"/>
        <v>0</v>
      </c>
      <c r="U101" s="32">
        <f t="shared" si="5"/>
        <v>0</v>
      </c>
      <c r="V101" s="32">
        <f t="shared" si="6"/>
        <v>0</v>
      </c>
      <c r="W101" s="32">
        <f t="shared" si="7"/>
        <v>0</v>
      </c>
    </row>
    <row r="102" spans="1:23">
      <c r="A102" s="77"/>
      <c r="B102" s="76"/>
      <c r="C102" s="77"/>
      <c r="D102" s="81"/>
      <c r="E102" s="82"/>
      <c r="F102" s="82"/>
      <c r="G102" s="83"/>
      <c r="H102" s="84"/>
      <c r="I102" s="85"/>
      <c r="J102" s="85"/>
      <c r="K102" s="85"/>
      <c r="L102" s="85"/>
      <c r="M102" s="93" t="e">
        <f>#REF!&amp;" "&amp;ContractorPayroll[[#This Row],[Employee ID Number / Code]]</f>
        <v>#REF!</v>
      </c>
      <c r="N102" s="71" t="str">
        <f>_xlfn.IFNA(IF(C102="","",VLOOKUP(ContractorPayroll[[#This Row],[Position / Title]],Lists!I:K,3,FALSE)),"")</f>
        <v/>
      </c>
      <c r="O102" s="42" t="str">
        <f>IF(ContractorPayroll[[#This Row],[Position / Title]]="","",VLOOKUP(ContractorPayroll[[#This Row],[Position / Title]],Lists!I:K,2,FALSE))</f>
        <v/>
      </c>
      <c r="P102" s="22" t="str">
        <f>IF(D102="","",ContractorPayroll[[#This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2" s="31">
        <f>IFERROR(IF(ContractorPayroll[[#This Row],[Annual Cost of Wage Increase included in Rate Adjustment]]=0,0,R102*'Facility Info Input'!$F$10),0)</f>
        <v>0</v>
      </c>
      <c r="T102" s="32">
        <f t="shared" si="4"/>
        <v>0</v>
      </c>
      <c r="U102" s="32">
        <f t="shared" si="5"/>
        <v>0</v>
      </c>
      <c r="V102" s="32">
        <f t="shared" si="6"/>
        <v>0</v>
      </c>
      <c r="W102" s="32">
        <f t="shared" si="7"/>
        <v>0</v>
      </c>
    </row>
    <row r="103" spans="1:23">
      <c r="A103" s="77"/>
      <c r="B103" s="76"/>
      <c r="C103" s="77"/>
      <c r="D103" s="81"/>
      <c r="E103" s="82"/>
      <c r="F103" s="82"/>
      <c r="G103" s="83"/>
      <c r="H103" s="84"/>
      <c r="I103" s="85"/>
      <c r="J103" s="85"/>
      <c r="K103" s="85"/>
      <c r="L103" s="85"/>
      <c r="M103" s="93" t="e">
        <f>#REF!&amp;" "&amp;ContractorPayroll[[#This Row],[Employee ID Number / Code]]</f>
        <v>#REF!</v>
      </c>
      <c r="N103" s="71" t="str">
        <f>_xlfn.IFNA(IF(C103="","",VLOOKUP(ContractorPayroll[[#This Row],[Position / Title]],Lists!I:K,3,FALSE)),"")</f>
        <v/>
      </c>
      <c r="O103" s="42" t="str">
        <f>IF(ContractorPayroll[[#This Row],[Position / Title]]="","",VLOOKUP(ContractorPayroll[[#This Row],[Position / Title]],Lists!I:K,2,FALSE))</f>
        <v/>
      </c>
      <c r="P103" s="22" t="str">
        <f>IF(D103="","",ContractorPayroll[[#This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3" s="31">
        <f>IFERROR(IF(ContractorPayroll[[#This Row],[Annual Cost of Wage Increase included in Rate Adjustment]]=0,0,R103*'Facility Info Input'!$F$10),0)</f>
        <v>0</v>
      </c>
      <c r="T103" s="32">
        <f t="shared" si="4"/>
        <v>0</v>
      </c>
      <c r="U103" s="32">
        <f t="shared" si="5"/>
        <v>0</v>
      </c>
      <c r="V103" s="32">
        <f t="shared" si="6"/>
        <v>0</v>
      </c>
      <c r="W103" s="32">
        <f t="shared" si="7"/>
        <v>0</v>
      </c>
    </row>
    <row r="104" spans="1:23">
      <c r="A104" s="77"/>
      <c r="B104" s="76"/>
      <c r="C104" s="77"/>
      <c r="D104" s="81"/>
      <c r="E104" s="82"/>
      <c r="F104" s="82"/>
      <c r="G104" s="83"/>
      <c r="H104" s="84"/>
      <c r="I104" s="85"/>
      <c r="J104" s="85"/>
      <c r="K104" s="85"/>
      <c r="L104" s="85"/>
      <c r="M104" s="93" t="e">
        <f>#REF!&amp;" "&amp;ContractorPayroll[[#This Row],[Employee ID Number / Code]]</f>
        <v>#REF!</v>
      </c>
      <c r="N104" s="71" t="str">
        <f>_xlfn.IFNA(IF(C104="","",VLOOKUP(ContractorPayroll[[#This Row],[Position / Title]],Lists!I:K,3,FALSE)),"")</f>
        <v/>
      </c>
      <c r="O104" s="42" t="str">
        <f>IF(ContractorPayroll[[#This Row],[Position / Title]]="","",VLOOKUP(ContractorPayroll[[#This Row],[Position / Title]],Lists!I:K,2,FALSE))</f>
        <v/>
      </c>
      <c r="P104" s="22" t="str">
        <f>IF(D104="","",ContractorPayroll[[#This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4" s="31">
        <f>IFERROR(IF(ContractorPayroll[[#This Row],[Annual Cost of Wage Increase included in Rate Adjustment]]=0,0,R104*'Facility Info Input'!$F$10),0)</f>
        <v>0</v>
      </c>
      <c r="T104" s="32">
        <f t="shared" si="4"/>
        <v>0</v>
      </c>
      <c r="U104" s="32">
        <f t="shared" si="5"/>
        <v>0</v>
      </c>
      <c r="V104" s="32">
        <f t="shared" si="6"/>
        <v>0</v>
      </c>
      <c r="W104" s="32">
        <f t="shared" si="7"/>
        <v>0</v>
      </c>
    </row>
    <row r="105" spans="1:23">
      <c r="A105" s="77"/>
      <c r="B105" s="76"/>
      <c r="C105" s="77"/>
      <c r="D105" s="81"/>
      <c r="E105" s="82"/>
      <c r="F105" s="82"/>
      <c r="G105" s="83"/>
      <c r="H105" s="84"/>
      <c r="I105" s="85"/>
      <c r="J105" s="85"/>
      <c r="K105" s="85"/>
      <c r="L105" s="85"/>
      <c r="M105" s="93" t="e">
        <f>#REF!&amp;" "&amp;ContractorPayroll[[#This Row],[Employee ID Number / Code]]</f>
        <v>#REF!</v>
      </c>
      <c r="N105" s="71" t="str">
        <f>_xlfn.IFNA(IF(C105="","",VLOOKUP(ContractorPayroll[[#This Row],[Position / Title]],Lists!I:K,3,FALSE)),"")</f>
        <v/>
      </c>
      <c r="O105" s="42" t="str">
        <f>IF(ContractorPayroll[[#This Row],[Position / Title]]="","",VLOOKUP(ContractorPayroll[[#This Row],[Position / Title]],Lists!I:K,2,FALSE))</f>
        <v/>
      </c>
      <c r="P105" s="22" t="str">
        <f>IF(D105="","",ContractorPayroll[[#This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5" s="31">
        <f>IFERROR(IF(ContractorPayroll[[#This Row],[Annual Cost of Wage Increase included in Rate Adjustment]]=0,0,R105*'Facility Info Input'!$F$10),0)</f>
        <v>0</v>
      </c>
      <c r="T105" s="32">
        <f t="shared" si="4"/>
        <v>0</v>
      </c>
      <c r="U105" s="32">
        <f t="shared" si="5"/>
        <v>0</v>
      </c>
      <c r="V105" s="32">
        <f t="shared" si="6"/>
        <v>0</v>
      </c>
      <c r="W105" s="32">
        <f t="shared" si="7"/>
        <v>0</v>
      </c>
    </row>
    <row r="106" spans="1:23">
      <c r="A106" s="77"/>
      <c r="B106" s="76"/>
      <c r="C106" s="77"/>
      <c r="D106" s="81"/>
      <c r="E106" s="82"/>
      <c r="F106" s="82"/>
      <c r="G106" s="83"/>
      <c r="H106" s="84"/>
      <c r="I106" s="85"/>
      <c r="J106" s="85"/>
      <c r="K106" s="85"/>
      <c r="L106" s="85"/>
      <c r="M106" s="93" t="e">
        <f>#REF!&amp;" "&amp;ContractorPayroll[[#This Row],[Employee ID Number / Code]]</f>
        <v>#REF!</v>
      </c>
      <c r="N106" s="71" t="str">
        <f>_xlfn.IFNA(IF(C106="","",VLOOKUP(ContractorPayroll[[#This Row],[Position / Title]],Lists!I:K,3,FALSE)),"")</f>
        <v/>
      </c>
      <c r="O106" s="42" t="str">
        <f>IF(ContractorPayroll[[#This Row],[Position / Title]]="","",VLOOKUP(ContractorPayroll[[#This Row],[Position / Title]],Lists!I:K,2,FALSE))</f>
        <v/>
      </c>
      <c r="P106" s="22" t="str">
        <f>IF(D106="","",ContractorPayroll[[#This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6" s="31">
        <f>IFERROR(IF(ContractorPayroll[[#This Row],[Annual Cost of Wage Increase included in Rate Adjustment]]=0,0,R106*'Facility Info Input'!$F$10),0)</f>
        <v>0</v>
      </c>
      <c r="T106" s="32">
        <f t="shared" si="4"/>
        <v>0</v>
      </c>
      <c r="U106" s="32">
        <f t="shared" si="5"/>
        <v>0</v>
      </c>
      <c r="V106" s="32">
        <f t="shared" si="6"/>
        <v>0</v>
      </c>
      <c r="W106" s="32">
        <f t="shared" si="7"/>
        <v>0</v>
      </c>
    </row>
    <row r="107" spans="1:23">
      <c r="A107" s="77"/>
      <c r="B107" s="76"/>
      <c r="C107" s="77"/>
      <c r="D107" s="81"/>
      <c r="E107" s="82"/>
      <c r="F107" s="82"/>
      <c r="G107" s="83"/>
      <c r="H107" s="84"/>
      <c r="I107" s="85"/>
      <c r="J107" s="85"/>
      <c r="K107" s="85"/>
      <c r="L107" s="85"/>
      <c r="M107" s="93" t="e">
        <f>#REF!&amp;" "&amp;ContractorPayroll[[#This Row],[Employee ID Number / Code]]</f>
        <v>#REF!</v>
      </c>
      <c r="N107" s="71" t="str">
        <f>_xlfn.IFNA(IF(C107="","",VLOOKUP(ContractorPayroll[[#This Row],[Position / Title]],Lists!I:K,3,FALSE)),"")</f>
        <v/>
      </c>
      <c r="O107" s="42" t="str">
        <f>IF(ContractorPayroll[[#This Row],[Position / Title]]="","",VLOOKUP(ContractorPayroll[[#This Row],[Position / Title]],Lists!I:K,2,FALSE))</f>
        <v/>
      </c>
      <c r="P107" s="22" t="str">
        <f>IF(D107="","",ContractorPayroll[[#This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7" s="31">
        <f>IFERROR(IF(ContractorPayroll[[#This Row],[Annual Cost of Wage Increase included in Rate Adjustment]]=0,0,R107*'Facility Info Input'!$F$10),0)</f>
        <v>0</v>
      </c>
      <c r="T107" s="32">
        <f t="shared" si="4"/>
        <v>0</v>
      </c>
      <c r="U107" s="32">
        <f t="shared" si="5"/>
        <v>0</v>
      </c>
      <c r="V107" s="32">
        <f t="shared" si="6"/>
        <v>0</v>
      </c>
      <c r="W107" s="32">
        <f t="shared" si="7"/>
        <v>0</v>
      </c>
    </row>
    <row r="108" spans="1:23">
      <c r="A108" s="77"/>
      <c r="B108" s="76"/>
      <c r="C108" s="77"/>
      <c r="D108" s="81"/>
      <c r="E108" s="82"/>
      <c r="F108" s="82"/>
      <c r="G108" s="83"/>
      <c r="H108" s="84"/>
      <c r="I108" s="85"/>
      <c r="J108" s="85"/>
      <c r="K108" s="85"/>
      <c r="L108" s="85"/>
      <c r="M108" s="93" t="e">
        <f>#REF!&amp;" "&amp;ContractorPayroll[[#This Row],[Employee ID Number / Code]]</f>
        <v>#REF!</v>
      </c>
      <c r="N108" s="71" t="str">
        <f>_xlfn.IFNA(IF(C108="","",VLOOKUP(ContractorPayroll[[#This Row],[Position / Title]],Lists!I:K,3,FALSE)),"")</f>
        <v/>
      </c>
      <c r="O108" s="42" t="str">
        <f>IF(ContractorPayroll[[#This Row],[Position / Title]]="","",VLOOKUP(ContractorPayroll[[#This Row],[Position / Title]],Lists!I:K,2,FALSE))</f>
        <v/>
      </c>
      <c r="P108" s="22" t="str">
        <f>IF(D108="","",ContractorPayroll[[#This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8" s="31">
        <f>IFERROR(IF(ContractorPayroll[[#This Row],[Annual Cost of Wage Increase included in Rate Adjustment]]=0,0,R108*'Facility Info Input'!$F$10),0)</f>
        <v>0</v>
      </c>
      <c r="T108" s="32">
        <f t="shared" si="4"/>
        <v>0</v>
      </c>
      <c r="U108" s="32">
        <f t="shared" si="5"/>
        <v>0</v>
      </c>
      <c r="V108" s="32">
        <f t="shared" si="6"/>
        <v>0</v>
      </c>
      <c r="W108" s="32">
        <f t="shared" si="7"/>
        <v>0</v>
      </c>
    </row>
    <row r="109" spans="1:23">
      <c r="A109" s="77"/>
      <c r="B109" s="76"/>
      <c r="C109" s="77"/>
      <c r="D109" s="81"/>
      <c r="E109" s="82"/>
      <c r="F109" s="82"/>
      <c r="G109" s="83"/>
      <c r="H109" s="84"/>
      <c r="I109" s="85"/>
      <c r="J109" s="85"/>
      <c r="K109" s="85"/>
      <c r="L109" s="85"/>
      <c r="M109" s="93" t="e">
        <f>#REF!&amp;" "&amp;ContractorPayroll[[#This Row],[Employee ID Number / Code]]</f>
        <v>#REF!</v>
      </c>
      <c r="N109" s="71" t="str">
        <f>_xlfn.IFNA(IF(C109="","",VLOOKUP(ContractorPayroll[[#This Row],[Position / Title]],Lists!I:K,3,FALSE)),"")</f>
        <v/>
      </c>
      <c r="O109" s="42" t="str">
        <f>IF(ContractorPayroll[[#This Row],[Position / Title]]="","",VLOOKUP(ContractorPayroll[[#This Row],[Position / Title]],Lists!I:K,2,FALSE))</f>
        <v/>
      </c>
      <c r="P109" s="22" t="str">
        <f>IF(D109="","",ContractorPayroll[[#This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0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0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09" s="31">
        <f>IFERROR(IF(ContractorPayroll[[#This Row],[Annual Cost of Wage Increase included in Rate Adjustment]]=0,0,R109*'Facility Info Input'!$F$10),0)</f>
        <v>0</v>
      </c>
      <c r="T109" s="32">
        <f t="shared" si="4"/>
        <v>0</v>
      </c>
      <c r="U109" s="32">
        <f t="shared" si="5"/>
        <v>0</v>
      </c>
      <c r="V109" s="32">
        <f t="shared" si="6"/>
        <v>0</v>
      </c>
      <c r="W109" s="32">
        <f t="shared" si="7"/>
        <v>0</v>
      </c>
    </row>
    <row r="110" spans="1:23">
      <c r="A110" s="77"/>
      <c r="B110" s="76"/>
      <c r="C110" s="77"/>
      <c r="D110" s="81"/>
      <c r="E110" s="82"/>
      <c r="F110" s="82"/>
      <c r="G110" s="83"/>
      <c r="H110" s="84"/>
      <c r="I110" s="85"/>
      <c r="J110" s="85"/>
      <c r="K110" s="85"/>
      <c r="L110" s="85"/>
      <c r="M110" s="93" t="e">
        <f>#REF!&amp;" "&amp;ContractorPayroll[[#This Row],[Employee ID Number / Code]]</f>
        <v>#REF!</v>
      </c>
      <c r="N110" s="71" t="str">
        <f>_xlfn.IFNA(IF(C110="","",VLOOKUP(ContractorPayroll[[#This Row],[Position / Title]],Lists!I:K,3,FALSE)),"")</f>
        <v/>
      </c>
      <c r="O110" s="42" t="str">
        <f>IF(ContractorPayroll[[#This Row],[Position / Title]]="","",VLOOKUP(ContractorPayroll[[#This Row],[Position / Title]],Lists!I:K,2,FALSE))</f>
        <v/>
      </c>
      <c r="P110" s="22" t="str">
        <f>IF(D110="","",ContractorPayroll[[#This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0" s="31">
        <f>IFERROR(IF(ContractorPayroll[[#This Row],[Annual Cost of Wage Increase included in Rate Adjustment]]=0,0,R110*'Facility Info Input'!$F$10),0)</f>
        <v>0</v>
      </c>
      <c r="T110" s="32">
        <f t="shared" si="4"/>
        <v>0</v>
      </c>
      <c r="U110" s="32">
        <f t="shared" si="5"/>
        <v>0</v>
      </c>
      <c r="V110" s="32">
        <f t="shared" si="6"/>
        <v>0</v>
      </c>
      <c r="W110" s="32">
        <f t="shared" si="7"/>
        <v>0</v>
      </c>
    </row>
    <row r="111" spans="1:23">
      <c r="A111" s="77"/>
      <c r="B111" s="76"/>
      <c r="C111" s="77"/>
      <c r="D111" s="81"/>
      <c r="E111" s="82"/>
      <c r="F111" s="82"/>
      <c r="G111" s="83"/>
      <c r="H111" s="84"/>
      <c r="I111" s="85"/>
      <c r="J111" s="85"/>
      <c r="K111" s="85"/>
      <c r="L111" s="85"/>
      <c r="M111" s="93" t="e">
        <f>#REF!&amp;" "&amp;ContractorPayroll[[#This Row],[Employee ID Number / Code]]</f>
        <v>#REF!</v>
      </c>
      <c r="N111" s="71" t="str">
        <f>_xlfn.IFNA(IF(C111="","",VLOOKUP(ContractorPayroll[[#This Row],[Position / Title]],Lists!I:K,3,FALSE)),"")</f>
        <v/>
      </c>
      <c r="O111" s="42" t="str">
        <f>IF(ContractorPayroll[[#This Row],[Position / Title]]="","",VLOOKUP(ContractorPayroll[[#This Row],[Position / Title]],Lists!I:K,2,FALSE))</f>
        <v/>
      </c>
      <c r="P111" s="22" t="str">
        <f>IF(D111="","",ContractorPayroll[[#This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1" s="31">
        <f>IFERROR(IF(ContractorPayroll[[#This Row],[Annual Cost of Wage Increase included in Rate Adjustment]]=0,0,R111*'Facility Info Input'!$F$10),0)</f>
        <v>0</v>
      </c>
      <c r="T111" s="32">
        <f t="shared" si="4"/>
        <v>0</v>
      </c>
      <c r="U111" s="32">
        <f t="shared" si="5"/>
        <v>0</v>
      </c>
      <c r="V111" s="32">
        <f t="shared" si="6"/>
        <v>0</v>
      </c>
      <c r="W111" s="32">
        <f t="shared" si="7"/>
        <v>0</v>
      </c>
    </row>
    <row r="112" spans="1:23">
      <c r="A112" s="77"/>
      <c r="B112" s="76"/>
      <c r="C112" s="77"/>
      <c r="D112" s="81"/>
      <c r="E112" s="82"/>
      <c r="F112" s="82"/>
      <c r="G112" s="83"/>
      <c r="H112" s="84"/>
      <c r="I112" s="85"/>
      <c r="J112" s="85"/>
      <c r="K112" s="85"/>
      <c r="L112" s="85"/>
      <c r="M112" s="93" t="e">
        <f>#REF!&amp;" "&amp;ContractorPayroll[[#This Row],[Employee ID Number / Code]]</f>
        <v>#REF!</v>
      </c>
      <c r="N112" s="71" t="str">
        <f>_xlfn.IFNA(IF(C112="","",VLOOKUP(ContractorPayroll[[#This Row],[Position / Title]],Lists!I:K,3,FALSE)),"")</f>
        <v/>
      </c>
      <c r="O112" s="42" t="str">
        <f>IF(ContractorPayroll[[#This Row],[Position / Title]]="","",VLOOKUP(ContractorPayroll[[#This Row],[Position / Title]],Lists!I:K,2,FALSE))</f>
        <v/>
      </c>
      <c r="P112" s="22" t="str">
        <f>IF(D112="","",ContractorPayroll[[#This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2" s="31">
        <f>IFERROR(IF(ContractorPayroll[[#This Row],[Annual Cost of Wage Increase included in Rate Adjustment]]=0,0,R112*'Facility Info Input'!$F$10),0)</f>
        <v>0</v>
      </c>
      <c r="T112" s="32">
        <f t="shared" si="4"/>
        <v>0</v>
      </c>
      <c r="U112" s="32">
        <f t="shared" si="5"/>
        <v>0</v>
      </c>
      <c r="V112" s="32">
        <f t="shared" si="6"/>
        <v>0</v>
      </c>
      <c r="W112" s="32">
        <f t="shared" si="7"/>
        <v>0</v>
      </c>
    </row>
    <row r="113" spans="1:23">
      <c r="A113" s="77"/>
      <c r="B113" s="76"/>
      <c r="C113" s="77"/>
      <c r="D113" s="81"/>
      <c r="E113" s="82"/>
      <c r="F113" s="82"/>
      <c r="G113" s="83"/>
      <c r="H113" s="84"/>
      <c r="I113" s="85"/>
      <c r="J113" s="85"/>
      <c r="K113" s="85"/>
      <c r="L113" s="85"/>
      <c r="M113" s="93" t="e">
        <f>#REF!&amp;" "&amp;ContractorPayroll[[#This Row],[Employee ID Number / Code]]</f>
        <v>#REF!</v>
      </c>
      <c r="N113" s="71" t="str">
        <f>_xlfn.IFNA(IF(C113="","",VLOOKUP(ContractorPayroll[[#This Row],[Position / Title]],Lists!I:K,3,FALSE)),"")</f>
        <v/>
      </c>
      <c r="O113" s="42" t="str">
        <f>IF(ContractorPayroll[[#This Row],[Position / Title]]="","",VLOOKUP(ContractorPayroll[[#This Row],[Position / Title]],Lists!I:K,2,FALSE))</f>
        <v/>
      </c>
      <c r="P113" s="22" t="str">
        <f>IF(D113="","",ContractorPayroll[[#This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3" s="31">
        <f>IFERROR(IF(ContractorPayroll[[#This Row],[Annual Cost of Wage Increase included in Rate Adjustment]]=0,0,R113*'Facility Info Input'!$F$10),0)</f>
        <v>0</v>
      </c>
      <c r="T113" s="32">
        <f t="shared" si="4"/>
        <v>0</v>
      </c>
      <c r="U113" s="32">
        <f t="shared" si="5"/>
        <v>0</v>
      </c>
      <c r="V113" s="32">
        <f t="shared" si="6"/>
        <v>0</v>
      </c>
      <c r="W113" s="32">
        <f t="shared" si="7"/>
        <v>0</v>
      </c>
    </row>
    <row r="114" spans="1:23">
      <c r="A114" s="77"/>
      <c r="B114" s="76"/>
      <c r="C114" s="77"/>
      <c r="D114" s="81"/>
      <c r="E114" s="82"/>
      <c r="F114" s="82"/>
      <c r="G114" s="83"/>
      <c r="H114" s="84"/>
      <c r="I114" s="85"/>
      <c r="J114" s="85"/>
      <c r="K114" s="85"/>
      <c r="L114" s="85"/>
      <c r="M114" s="93" t="e">
        <f>#REF!&amp;" "&amp;ContractorPayroll[[#This Row],[Employee ID Number / Code]]</f>
        <v>#REF!</v>
      </c>
      <c r="N114" s="71" t="str">
        <f>_xlfn.IFNA(IF(C114="","",VLOOKUP(ContractorPayroll[[#This Row],[Position / Title]],Lists!I:K,3,FALSE)),"")</f>
        <v/>
      </c>
      <c r="O114" s="42" t="str">
        <f>IF(ContractorPayroll[[#This Row],[Position / Title]]="","",VLOOKUP(ContractorPayroll[[#This Row],[Position / Title]],Lists!I:K,2,FALSE))</f>
        <v/>
      </c>
      <c r="P114" s="22" t="str">
        <f>IF(D114="","",ContractorPayroll[[#This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4" s="31">
        <f>IFERROR(IF(ContractorPayroll[[#This Row],[Annual Cost of Wage Increase included in Rate Adjustment]]=0,0,R114*'Facility Info Input'!$F$10),0)</f>
        <v>0</v>
      </c>
      <c r="T114" s="32">
        <f t="shared" si="4"/>
        <v>0</v>
      </c>
      <c r="U114" s="32">
        <f t="shared" si="5"/>
        <v>0</v>
      </c>
      <c r="V114" s="32">
        <f t="shared" si="6"/>
        <v>0</v>
      </c>
      <c r="W114" s="32">
        <f t="shared" si="7"/>
        <v>0</v>
      </c>
    </row>
    <row r="115" spans="1:23">
      <c r="A115" s="77"/>
      <c r="B115" s="76"/>
      <c r="C115" s="77"/>
      <c r="D115" s="81"/>
      <c r="E115" s="82"/>
      <c r="F115" s="82"/>
      <c r="G115" s="83"/>
      <c r="H115" s="84"/>
      <c r="I115" s="85"/>
      <c r="J115" s="85"/>
      <c r="K115" s="85"/>
      <c r="L115" s="85"/>
      <c r="M115" s="93" t="e">
        <f>#REF!&amp;" "&amp;ContractorPayroll[[#This Row],[Employee ID Number / Code]]</f>
        <v>#REF!</v>
      </c>
      <c r="N115" s="71" t="str">
        <f>_xlfn.IFNA(IF(C115="","",VLOOKUP(ContractorPayroll[[#This Row],[Position / Title]],Lists!I:K,3,FALSE)),"")</f>
        <v/>
      </c>
      <c r="O115" s="42" t="str">
        <f>IF(ContractorPayroll[[#This Row],[Position / Title]]="","",VLOOKUP(ContractorPayroll[[#This Row],[Position / Title]],Lists!I:K,2,FALSE))</f>
        <v/>
      </c>
      <c r="P115" s="22" t="str">
        <f>IF(D115="","",ContractorPayroll[[#This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5" s="31">
        <f>IFERROR(IF(ContractorPayroll[[#This Row],[Annual Cost of Wage Increase included in Rate Adjustment]]=0,0,R115*'Facility Info Input'!$F$10),0)</f>
        <v>0</v>
      </c>
      <c r="T115" s="32">
        <f t="shared" si="4"/>
        <v>0</v>
      </c>
      <c r="U115" s="32">
        <f t="shared" si="5"/>
        <v>0</v>
      </c>
      <c r="V115" s="32">
        <f t="shared" si="6"/>
        <v>0</v>
      </c>
      <c r="W115" s="32">
        <f t="shared" si="7"/>
        <v>0</v>
      </c>
    </row>
    <row r="116" spans="1:23">
      <c r="A116" s="77"/>
      <c r="B116" s="76"/>
      <c r="C116" s="77"/>
      <c r="D116" s="81"/>
      <c r="E116" s="82"/>
      <c r="F116" s="82"/>
      <c r="G116" s="83"/>
      <c r="H116" s="84"/>
      <c r="I116" s="85"/>
      <c r="J116" s="85"/>
      <c r="K116" s="85"/>
      <c r="L116" s="85"/>
      <c r="M116" s="93" t="e">
        <f>#REF!&amp;" "&amp;ContractorPayroll[[#This Row],[Employee ID Number / Code]]</f>
        <v>#REF!</v>
      </c>
      <c r="N116" s="71" t="str">
        <f>_xlfn.IFNA(IF(C116="","",VLOOKUP(ContractorPayroll[[#This Row],[Position / Title]],Lists!I:K,3,FALSE)),"")</f>
        <v/>
      </c>
      <c r="O116" s="42" t="str">
        <f>IF(ContractorPayroll[[#This Row],[Position / Title]]="","",VLOOKUP(ContractorPayroll[[#This Row],[Position / Title]],Lists!I:K,2,FALSE))</f>
        <v/>
      </c>
      <c r="P116" s="22" t="str">
        <f>IF(D116="","",ContractorPayroll[[#This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6" s="31">
        <f>IFERROR(IF(ContractorPayroll[[#This Row],[Annual Cost of Wage Increase included in Rate Adjustment]]=0,0,R116*'Facility Info Input'!$F$10),0)</f>
        <v>0</v>
      </c>
      <c r="T116" s="32">
        <f t="shared" si="4"/>
        <v>0</v>
      </c>
      <c r="U116" s="32">
        <f t="shared" si="5"/>
        <v>0</v>
      </c>
      <c r="V116" s="32">
        <f t="shared" si="6"/>
        <v>0</v>
      </c>
      <c r="W116" s="32">
        <f t="shared" si="7"/>
        <v>0</v>
      </c>
    </row>
    <row r="117" spans="1:23">
      <c r="A117" s="77"/>
      <c r="B117" s="76"/>
      <c r="C117" s="77"/>
      <c r="D117" s="81"/>
      <c r="E117" s="82"/>
      <c r="F117" s="82"/>
      <c r="G117" s="83"/>
      <c r="H117" s="84"/>
      <c r="I117" s="85"/>
      <c r="J117" s="85"/>
      <c r="K117" s="85"/>
      <c r="L117" s="85"/>
      <c r="M117" s="93" t="e">
        <f>#REF!&amp;" "&amp;ContractorPayroll[[#This Row],[Employee ID Number / Code]]</f>
        <v>#REF!</v>
      </c>
      <c r="N117" s="71" t="str">
        <f>_xlfn.IFNA(IF(C117="","",VLOOKUP(ContractorPayroll[[#This Row],[Position / Title]],Lists!I:K,3,FALSE)),"")</f>
        <v/>
      </c>
      <c r="O117" s="42" t="str">
        <f>IF(ContractorPayroll[[#This Row],[Position / Title]]="","",VLOOKUP(ContractorPayroll[[#This Row],[Position / Title]],Lists!I:K,2,FALSE))</f>
        <v/>
      </c>
      <c r="P117" s="22" t="str">
        <f>IF(D117="","",ContractorPayroll[[#This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7" s="31">
        <f>IFERROR(IF(ContractorPayroll[[#This Row],[Annual Cost of Wage Increase included in Rate Adjustment]]=0,0,R117*'Facility Info Input'!$F$10),0)</f>
        <v>0</v>
      </c>
      <c r="T117" s="32">
        <f t="shared" si="4"/>
        <v>0</v>
      </c>
      <c r="U117" s="32">
        <f t="shared" si="5"/>
        <v>0</v>
      </c>
      <c r="V117" s="32">
        <f t="shared" si="6"/>
        <v>0</v>
      </c>
      <c r="W117" s="32">
        <f t="shared" si="7"/>
        <v>0</v>
      </c>
    </row>
    <row r="118" spans="1:23">
      <c r="A118" s="77"/>
      <c r="B118" s="76"/>
      <c r="C118" s="77"/>
      <c r="D118" s="81"/>
      <c r="E118" s="82"/>
      <c r="F118" s="82"/>
      <c r="G118" s="83"/>
      <c r="H118" s="84"/>
      <c r="I118" s="85"/>
      <c r="J118" s="85"/>
      <c r="K118" s="85"/>
      <c r="L118" s="85"/>
      <c r="M118" s="93" t="e">
        <f>#REF!&amp;" "&amp;ContractorPayroll[[#This Row],[Employee ID Number / Code]]</f>
        <v>#REF!</v>
      </c>
      <c r="N118" s="71" t="str">
        <f>_xlfn.IFNA(IF(C118="","",VLOOKUP(ContractorPayroll[[#This Row],[Position / Title]],Lists!I:K,3,FALSE)),"")</f>
        <v/>
      </c>
      <c r="O118" s="42" t="str">
        <f>IF(ContractorPayroll[[#This Row],[Position / Title]]="","",VLOOKUP(ContractorPayroll[[#This Row],[Position / Title]],Lists!I:K,2,FALSE))</f>
        <v/>
      </c>
      <c r="P118" s="22" t="str">
        <f>IF(D118="","",ContractorPayroll[[#This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8" s="31">
        <f>IFERROR(IF(ContractorPayroll[[#This Row],[Annual Cost of Wage Increase included in Rate Adjustment]]=0,0,R118*'Facility Info Input'!$F$10),0)</f>
        <v>0</v>
      </c>
      <c r="T118" s="32">
        <f t="shared" si="4"/>
        <v>0</v>
      </c>
      <c r="U118" s="32">
        <f t="shared" si="5"/>
        <v>0</v>
      </c>
      <c r="V118" s="32">
        <f t="shared" si="6"/>
        <v>0</v>
      </c>
      <c r="W118" s="32">
        <f t="shared" si="7"/>
        <v>0</v>
      </c>
    </row>
    <row r="119" spans="1:23">
      <c r="A119" s="77"/>
      <c r="B119" s="76"/>
      <c r="C119" s="77"/>
      <c r="D119" s="81"/>
      <c r="E119" s="82"/>
      <c r="F119" s="82"/>
      <c r="G119" s="83"/>
      <c r="H119" s="84"/>
      <c r="I119" s="85"/>
      <c r="J119" s="85"/>
      <c r="K119" s="85"/>
      <c r="L119" s="85"/>
      <c r="M119" s="93" t="e">
        <f>#REF!&amp;" "&amp;ContractorPayroll[[#This Row],[Employee ID Number / Code]]</f>
        <v>#REF!</v>
      </c>
      <c r="N119" s="71" t="str">
        <f>_xlfn.IFNA(IF(C119="","",VLOOKUP(ContractorPayroll[[#This Row],[Position / Title]],Lists!I:K,3,FALSE)),"")</f>
        <v/>
      </c>
      <c r="O119" s="42" t="str">
        <f>IF(ContractorPayroll[[#This Row],[Position / Title]]="","",VLOOKUP(ContractorPayroll[[#This Row],[Position / Title]],Lists!I:K,2,FALSE))</f>
        <v/>
      </c>
      <c r="P119" s="22" t="str">
        <f>IF(D119="","",ContractorPayroll[[#This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1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1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19" s="31">
        <f>IFERROR(IF(ContractorPayroll[[#This Row],[Annual Cost of Wage Increase included in Rate Adjustment]]=0,0,R119*'Facility Info Input'!$F$10),0)</f>
        <v>0</v>
      </c>
      <c r="T119" s="32">
        <f t="shared" si="4"/>
        <v>0</v>
      </c>
      <c r="U119" s="32">
        <f t="shared" si="5"/>
        <v>0</v>
      </c>
      <c r="V119" s="32">
        <f t="shared" si="6"/>
        <v>0</v>
      </c>
      <c r="W119" s="32">
        <f t="shared" si="7"/>
        <v>0</v>
      </c>
    </row>
    <row r="120" spans="1:23">
      <c r="A120" s="77"/>
      <c r="B120" s="76"/>
      <c r="C120" s="77"/>
      <c r="D120" s="81"/>
      <c r="E120" s="82"/>
      <c r="F120" s="82"/>
      <c r="G120" s="83"/>
      <c r="H120" s="84"/>
      <c r="I120" s="85"/>
      <c r="J120" s="85"/>
      <c r="K120" s="85"/>
      <c r="L120" s="85"/>
      <c r="M120" s="93" t="e">
        <f>#REF!&amp;" "&amp;ContractorPayroll[[#This Row],[Employee ID Number / Code]]</f>
        <v>#REF!</v>
      </c>
      <c r="N120" s="71" t="str">
        <f>_xlfn.IFNA(IF(C120="","",VLOOKUP(ContractorPayroll[[#This Row],[Position / Title]],Lists!I:K,3,FALSE)),"")</f>
        <v/>
      </c>
      <c r="O120" s="42" t="str">
        <f>IF(ContractorPayroll[[#This Row],[Position / Title]]="","",VLOOKUP(ContractorPayroll[[#This Row],[Position / Title]],Lists!I:K,2,FALSE))</f>
        <v/>
      </c>
      <c r="P120" s="22" t="str">
        <f>IF(D120="","",ContractorPayroll[[#This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0" s="31">
        <f>IFERROR(IF(ContractorPayroll[[#This Row],[Annual Cost of Wage Increase included in Rate Adjustment]]=0,0,R120*'Facility Info Input'!$F$10),0)</f>
        <v>0</v>
      </c>
      <c r="T120" s="32">
        <f t="shared" si="4"/>
        <v>0</v>
      </c>
      <c r="U120" s="32">
        <f t="shared" si="5"/>
        <v>0</v>
      </c>
      <c r="V120" s="32">
        <f t="shared" si="6"/>
        <v>0</v>
      </c>
      <c r="W120" s="32">
        <f t="shared" si="7"/>
        <v>0</v>
      </c>
    </row>
    <row r="121" spans="1:23">
      <c r="A121" s="77"/>
      <c r="B121" s="76"/>
      <c r="C121" s="77"/>
      <c r="D121" s="81"/>
      <c r="E121" s="82"/>
      <c r="F121" s="82"/>
      <c r="G121" s="83"/>
      <c r="H121" s="84"/>
      <c r="I121" s="85"/>
      <c r="J121" s="85"/>
      <c r="K121" s="85"/>
      <c r="L121" s="85"/>
      <c r="M121" s="93" t="e">
        <f>#REF!&amp;" "&amp;ContractorPayroll[[#This Row],[Employee ID Number / Code]]</f>
        <v>#REF!</v>
      </c>
      <c r="N121" s="71" t="str">
        <f>_xlfn.IFNA(IF(C121="","",VLOOKUP(ContractorPayroll[[#This Row],[Position / Title]],Lists!I:K,3,FALSE)),"")</f>
        <v/>
      </c>
      <c r="O121" s="42" t="str">
        <f>IF(ContractorPayroll[[#This Row],[Position / Title]]="","",VLOOKUP(ContractorPayroll[[#This Row],[Position / Title]],Lists!I:K,2,FALSE))</f>
        <v/>
      </c>
      <c r="P121" s="22" t="str">
        <f>IF(D121="","",ContractorPayroll[[#This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1" s="31">
        <f>IFERROR(IF(ContractorPayroll[[#This Row],[Annual Cost of Wage Increase included in Rate Adjustment]]=0,0,R121*'Facility Info Input'!$F$10),0)</f>
        <v>0</v>
      </c>
      <c r="T121" s="32">
        <f t="shared" si="4"/>
        <v>0</v>
      </c>
      <c r="U121" s="32">
        <f t="shared" si="5"/>
        <v>0</v>
      </c>
      <c r="V121" s="32">
        <f t="shared" si="6"/>
        <v>0</v>
      </c>
      <c r="W121" s="32">
        <f t="shared" si="7"/>
        <v>0</v>
      </c>
    </row>
    <row r="122" spans="1:23">
      <c r="A122" s="77"/>
      <c r="B122" s="76"/>
      <c r="C122" s="77"/>
      <c r="D122" s="81"/>
      <c r="E122" s="82"/>
      <c r="F122" s="82"/>
      <c r="G122" s="83"/>
      <c r="H122" s="84"/>
      <c r="I122" s="85"/>
      <c r="J122" s="85"/>
      <c r="K122" s="85"/>
      <c r="L122" s="85"/>
      <c r="M122" s="93" t="e">
        <f>#REF!&amp;" "&amp;ContractorPayroll[[#This Row],[Employee ID Number / Code]]</f>
        <v>#REF!</v>
      </c>
      <c r="N122" s="71" t="str">
        <f>_xlfn.IFNA(IF(C122="","",VLOOKUP(ContractorPayroll[[#This Row],[Position / Title]],Lists!I:K,3,FALSE)),"")</f>
        <v/>
      </c>
      <c r="O122" s="42" t="str">
        <f>IF(ContractorPayroll[[#This Row],[Position / Title]]="","",VLOOKUP(ContractorPayroll[[#This Row],[Position / Title]],Lists!I:K,2,FALSE))</f>
        <v/>
      </c>
      <c r="P122" s="22" t="str">
        <f>IF(D122="","",ContractorPayroll[[#This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2" s="31">
        <f>IFERROR(IF(ContractorPayroll[[#This Row],[Annual Cost of Wage Increase included in Rate Adjustment]]=0,0,R122*'Facility Info Input'!$F$10),0)</f>
        <v>0</v>
      </c>
      <c r="T122" s="32">
        <f t="shared" si="4"/>
        <v>0</v>
      </c>
      <c r="U122" s="32">
        <f t="shared" si="5"/>
        <v>0</v>
      </c>
      <c r="V122" s="32">
        <f t="shared" si="6"/>
        <v>0</v>
      </c>
      <c r="W122" s="32">
        <f t="shared" si="7"/>
        <v>0</v>
      </c>
    </row>
    <row r="123" spans="1:23">
      <c r="A123" s="77"/>
      <c r="B123" s="76"/>
      <c r="C123" s="77"/>
      <c r="D123" s="81"/>
      <c r="E123" s="82"/>
      <c r="F123" s="82"/>
      <c r="G123" s="83"/>
      <c r="H123" s="84"/>
      <c r="I123" s="85"/>
      <c r="J123" s="85"/>
      <c r="K123" s="85"/>
      <c r="L123" s="85"/>
      <c r="M123" s="93" t="e">
        <f>#REF!&amp;" "&amp;ContractorPayroll[[#This Row],[Employee ID Number / Code]]</f>
        <v>#REF!</v>
      </c>
      <c r="N123" s="71" t="str">
        <f>_xlfn.IFNA(IF(C123="","",VLOOKUP(ContractorPayroll[[#This Row],[Position / Title]],Lists!I:K,3,FALSE)),"")</f>
        <v/>
      </c>
      <c r="O123" s="42" t="str">
        <f>IF(ContractorPayroll[[#This Row],[Position / Title]]="","",VLOOKUP(ContractorPayroll[[#This Row],[Position / Title]],Lists!I:K,2,FALSE))</f>
        <v/>
      </c>
      <c r="P123" s="22" t="str">
        <f>IF(D123="","",ContractorPayroll[[#This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3" s="31">
        <f>IFERROR(IF(ContractorPayroll[[#This Row],[Annual Cost of Wage Increase included in Rate Adjustment]]=0,0,R123*'Facility Info Input'!$F$10),0)</f>
        <v>0</v>
      </c>
      <c r="T123" s="32">
        <f t="shared" si="4"/>
        <v>0</v>
      </c>
      <c r="U123" s="32">
        <f t="shared" si="5"/>
        <v>0</v>
      </c>
      <c r="V123" s="32">
        <f t="shared" si="6"/>
        <v>0</v>
      </c>
      <c r="W123" s="32">
        <f t="shared" si="7"/>
        <v>0</v>
      </c>
    </row>
    <row r="124" spans="1:23">
      <c r="A124" s="77"/>
      <c r="B124" s="76"/>
      <c r="C124" s="77"/>
      <c r="D124" s="81"/>
      <c r="E124" s="82"/>
      <c r="F124" s="82"/>
      <c r="G124" s="83"/>
      <c r="H124" s="84"/>
      <c r="I124" s="85"/>
      <c r="J124" s="85"/>
      <c r="K124" s="85"/>
      <c r="L124" s="85"/>
      <c r="M124" s="93" t="e">
        <f>#REF!&amp;" "&amp;ContractorPayroll[[#This Row],[Employee ID Number / Code]]</f>
        <v>#REF!</v>
      </c>
      <c r="N124" s="71" t="str">
        <f>_xlfn.IFNA(IF(C124="","",VLOOKUP(ContractorPayroll[[#This Row],[Position / Title]],Lists!I:K,3,FALSE)),"")</f>
        <v/>
      </c>
      <c r="O124" s="42" t="str">
        <f>IF(ContractorPayroll[[#This Row],[Position / Title]]="","",VLOOKUP(ContractorPayroll[[#This Row],[Position / Title]],Lists!I:K,2,FALSE))</f>
        <v/>
      </c>
      <c r="P124" s="22" t="str">
        <f>IF(D124="","",ContractorPayroll[[#This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4" s="31">
        <f>IFERROR(IF(ContractorPayroll[[#This Row],[Annual Cost of Wage Increase included in Rate Adjustment]]=0,0,R124*'Facility Info Input'!$F$10),0)</f>
        <v>0</v>
      </c>
      <c r="T124" s="32">
        <f t="shared" si="4"/>
        <v>0</v>
      </c>
      <c r="U124" s="32">
        <f t="shared" si="5"/>
        <v>0</v>
      </c>
      <c r="V124" s="32">
        <f t="shared" si="6"/>
        <v>0</v>
      </c>
      <c r="W124" s="32">
        <f t="shared" si="7"/>
        <v>0</v>
      </c>
    </row>
    <row r="125" spans="1:23">
      <c r="A125" s="77"/>
      <c r="B125" s="76"/>
      <c r="C125" s="77"/>
      <c r="D125" s="81"/>
      <c r="E125" s="82"/>
      <c r="F125" s="82"/>
      <c r="G125" s="83"/>
      <c r="H125" s="84"/>
      <c r="I125" s="85"/>
      <c r="J125" s="85"/>
      <c r="K125" s="85"/>
      <c r="L125" s="85"/>
      <c r="M125" s="93" t="e">
        <f>#REF!&amp;" "&amp;ContractorPayroll[[#This Row],[Employee ID Number / Code]]</f>
        <v>#REF!</v>
      </c>
      <c r="N125" s="71" t="str">
        <f>_xlfn.IFNA(IF(C125="","",VLOOKUP(ContractorPayroll[[#This Row],[Position / Title]],Lists!I:K,3,FALSE)),"")</f>
        <v/>
      </c>
      <c r="O125" s="42" t="str">
        <f>IF(ContractorPayroll[[#This Row],[Position / Title]]="","",VLOOKUP(ContractorPayroll[[#This Row],[Position / Title]],Lists!I:K,2,FALSE))</f>
        <v/>
      </c>
      <c r="P125" s="22" t="str">
        <f>IF(D125="","",ContractorPayroll[[#This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5" s="31">
        <f>IFERROR(IF(ContractorPayroll[[#This Row],[Annual Cost of Wage Increase included in Rate Adjustment]]=0,0,R125*'Facility Info Input'!$F$10),0)</f>
        <v>0</v>
      </c>
      <c r="T125" s="32">
        <f t="shared" si="4"/>
        <v>0</v>
      </c>
      <c r="U125" s="32">
        <f t="shared" si="5"/>
        <v>0</v>
      </c>
      <c r="V125" s="32">
        <f t="shared" si="6"/>
        <v>0</v>
      </c>
      <c r="W125" s="32">
        <f t="shared" si="7"/>
        <v>0</v>
      </c>
    </row>
    <row r="126" spans="1:23">
      <c r="A126" s="77"/>
      <c r="B126" s="76"/>
      <c r="C126" s="77"/>
      <c r="D126" s="81"/>
      <c r="E126" s="82"/>
      <c r="F126" s="82"/>
      <c r="G126" s="83"/>
      <c r="H126" s="84"/>
      <c r="I126" s="85"/>
      <c r="J126" s="85"/>
      <c r="K126" s="85"/>
      <c r="L126" s="85"/>
      <c r="M126" s="93" t="e">
        <f>#REF!&amp;" "&amp;ContractorPayroll[[#This Row],[Employee ID Number / Code]]</f>
        <v>#REF!</v>
      </c>
      <c r="N126" s="71" t="str">
        <f>_xlfn.IFNA(IF(C126="","",VLOOKUP(ContractorPayroll[[#This Row],[Position / Title]],Lists!I:K,3,FALSE)),"")</f>
        <v/>
      </c>
      <c r="O126" s="42" t="str">
        <f>IF(ContractorPayroll[[#This Row],[Position / Title]]="","",VLOOKUP(ContractorPayroll[[#This Row],[Position / Title]],Lists!I:K,2,FALSE))</f>
        <v/>
      </c>
      <c r="P126" s="22" t="str">
        <f>IF(D126="","",ContractorPayroll[[#This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6" s="31">
        <f>IFERROR(IF(ContractorPayroll[[#This Row],[Annual Cost of Wage Increase included in Rate Adjustment]]=0,0,R126*'Facility Info Input'!$F$10),0)</f>
        <v>0</v>
      </c>
      <c r="T126" s="32">
        <f t="shared" si="4"/>
        <v>0</v>
      </c>
      <c r="U126" s="32">
        <f t="shared" si="5"/>
        <v>0</v>
      </c>
      <c r="V126" s="32">
        <f t="shared" si="6"/>
        <v>0</v>
      </c>
      <c r="W126" s="32">
        <f t="shared" si="7"/>
        <v>0</v>
      </c>
    </row>
    <row r="127" spans="1:23">
      <c r="A127" s="77"/>
      <c r="B127" s="76"/>
      <c r="C127" s="77"/>
      <c r="D127" s="81"/>
      <c r="E127" s="82"/>
      <c r="F127" s="82"/>
      <c r="G127" s="83"/>
      <c r="H127" s="84"/>
      <c r="I127" s="85"/>
      <c r="J127" s="85"/>
      <c r="K127" s="85"/>
      <c r="L127" s="85"/>
      <c r="M127" s="93" t="e">
        <f>#REF!&amp;" "&amp;ContractorPayroll[[#This Row],[Employee ID Number / Code]]</f>
        <v>#REF!</v>
      </c>
      <c r="N127" s="71" t="str">
        <f>_xlfn.IFNA(IF(C127="","",VLOOKUP(ContractorPayroll[[#This Row],[Position / Title]],Lists!I:K,3,FALSE)),"")</f>
        <v/>
      </c>
      <c r="O127" s="42" t="str">
        <f>IF(ContractorPayroll[[#This Row],[Position / Title]]="","",VLOOKUP(ContractorPayroll[[#This Row],[Position / Title]],Lists!I:K,2,FALSE))</f>
        <v/>
      </c>
      <c r="P127" s="22" t="str">
        <f>IF(D127="","",ContractorPayroll[[#This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7" s="31">
        <f>IFERROR(IF(ContractorPayroll[[#This Row],[Annual Cost of Wage Increase included in Rate Adjustment]]=0,0,R127*'Facility Info Input'!$F$10),0)</f>
        <v>0</v>
      </c>
      <c r="T127" s="32">
        <f t="shared" si="4"/>
        <v>0</v>
      </c>
      <c r="U127" s="32">
        <f t="shared" si="5"/>
        <v>0</v>
      </c>
      <c r="V127" s="32">
        <f t="shared" si="6"/>
        <v>0</v>
      </c>
      <c r="W127" s="32">
        <f t="shared" si="7"/>
        <v>0</v>
      </c>
    </row>
    <row r="128" spans="1:23">
      <c r="A128" s="77"/>
      <c r="B128" s="76"/>
      <c r="C128" s="77"/>
      <c r="D128" s="81"/>
      <c r="E128" s="82"/>
      <c r="F128" s="82"/>
      <c r="G128" s="83"/>
      <c r="H128" s="84"/>
      <c r="I128" s="85"/>
      <c r="J128" s="85"/>
      <c r="K128" s="85"/>
      <c r="L128" s="85"/>
      <c r="M128" s="93" t="e">
        <f>#REF!&amp;" "&amp;ContractorPayroll[[#This Row],[Employee ID Number / Code]]</f>
        <v>#REF!</v>
      </c>
      <c r="N128" s="71" t="str">
        <f>_xlfn.IFNA(IF(C128="","",VLOOKUP(ContractorPayroll[[#This Row],[Position / Title]],Lists!I:K,3,FALSE)),"")</f>
        <v/>
      </c>
      <c r="O128" s="42" t="str">
        <f>IF(ContractorPayroll[[#This Row],[Position / Title]]="","",VLOOKUP(ContractorPayroll[[#This Row],[Position / Title]],Lists!I:K,2,FALSE))</f>
        <v/>
      </c>
      <c r="P128" s="22" t="str">
        <f>IF(D128="","",ContractorPayroll[[#This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8" s="31">
        <f>IFERROR(IF(ContractorPayroll[[#This Row],[Annual Cost of Wage Increase included in Rate Adjustment]]=0,0,R128*'Facility Info Input'!$F$10),0)</f>
        <v>0</v>
      </c>
      <c r="T128" s="32">
        <f t="shared" si="4"/>
        <v>0</v>
      </c>
      <c r="U128" s="32">
        <f t="shared" si="5"/>
        <v>0</v>
      </c>
      <c r="V128" s="32">
        <f t="shared" si="6"/>
        <v>0</v>
      </c>
      <c r="W128" s="32">
        <f t="shared" si="7"/>
        <v>0</v>
      </c>
    </row>
    <row r="129" spans="1:23">
      <c r="A129" s="77"/>
      <c r="B129" s="76"/>
      <c r="C129" s="77"/>
      <c r="D129" s="81"/>
      <c r="E129" s="82"/>
      <c r="F129" s="82"/>
      <c r="G129" s="83"/>
      <c r="H129" s="84"/>
      <c r="I129" s="85"/>
      <c r="J129" s="85"/>
      <c r="K129" s="85"/>
      <c r="L129" s="85"/>
      <c r="M129" s="93" t="e">
        <f>#REF!&amp;" "&amp;ContractorPayroll[[#This Row],[Employee ID Number / Code]]</f>
        <v>#REF!</v>
      </c>
      <c r="N129" s="71" t="str">
        <f>_xlfn.IFNA(IF(C129="","",VLOOKUP(ContractorPayroll[[#This Row],[Position / Title]],Lists!I:K,3,FALSE)),"")</f>
        <v/>
      </c>
      <c r="O129" s="42" t="str">
        <f>IF(ContractorPayroll[[#This Row],[Position / Title]]="","",VLOOKUP(ContractorPayroll[[#This Row],[Position / Title]],Lists!I:K,2,FALSE))</f>
        <v/>
      </c>
      <c r="P129" s="22" t="str">
        <f>IF(D129="","",ContractorPayroll[[#This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2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2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29" s="31">
        <f>IFERROR(IF(ContractorPayroll[[#This Row],[Annual Cost of Wage Increase included in Rate Adjustment]]=0,0,R129*'Facility Info Input'!$F$10),0)</f>
        <v>0</v>
      </c>
      <c r="T129" s="32">
        <f t="shared" si="4"/>
        <v>0</v>
      </c>
      <c r="U129" s="32">
        <f t="shared" si="5"/>
        <v>0</v>
      </c>
      <c r="V129" s="32">
        <f t="shared" si="6"/>
        <v>0</v>
      </c>
      <c r="W129" s="32">
        <f t="shared" si="7"/>
        <v>0</v>
      </c>
    </row>
    <row r="130" spans="1:23">
      <c r="A130" s="77"/>
      <c r="B130" s="76"/>
      <c r="C130" s="77"/>
      <c r="D130" s="81"/>
      <c r="E130" s="82"/>
      <c r="F130" s="82"/>
      <c r="G130" s="83"/>
      <c r="H130" s="84"/>
      <c r="I130" s="85"/>
      <c r="J130" s="85"/>
      <c r="K130" s="85"/>
      <c r="L130" s="85"/>
      <c r="M130" s="93" t="e">
        <f>#REF!&amp;" "&amp;ContractorPayroll[[#This Row],[Employee ID Number / Code]]</f>
        <v>#REF!</v>
      </c>
      <c r="N130" s="71" t="str">
        <f>_xlfn.IFNA(IF(C130="","",VLOOKUP(ContractorPayroll[[#This Row],[Position / Title]],Lists!I:K,3,FALSE)),"")</f>
        <v/>
      </c>
      <c r="O130" s="42" t="str">
        <f>IF(ContractorPayroll[[#This Row],[Position / Title]]="","",VLOOKUP(ContractorPayroll[[#This Row],[Position / Title]],Lists!I:K,2,FALSE))</f>
        <v/>
      </c>
      <c r="P130" s="22" t="str">
        <f>IF(D130="","",ContractorPayroll[[#This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0" s="31">
        <f>IFERROR(IF(ContractorPayroll[[#This Row],[Annual Cost of Wage Increase included in Rate Adjustment]]=0,0,R130*'Facility Info Input'!$F$10),0)</f>
        <v>0</v>
      </c>
      <c r="T130" s="32">
        <f t="shared" ref="T130:T193" si="8">IFERROR(J130*R130,0)</f>
        <v>0</v>
      </c>
      <c r="U130" s="32">
        <f t="shared" ref="U130:U193" si="9">IFERROR(K130*R130,0)</f>
        <v>0</v>
      </c>
      <c r="V130" s="32">
        <f t="shared" ref="V130:V193" si="10">IFERROR(IF(H130="Yes",I130*R130,0),0)</f>
        <v>0</v>
      </c>
      <c r="W130" s="32">
        <f t="shared" si="7"/>
        <v>0</v>
      </c>
    </row>
    <row r="131" spans="1:23">
      <c r="A131" s="77"/>
      <c r="B131" s="76"/>
      <c r="C131" s="77"/>
      <c r="D131" s="81"/>
      <c r="E131" s="82"/>
      <c r="F131" s="82"/>
      <c r="G131" s="83"/>
      <c r="H131" s="84"/>
      <c r="I131" s="85"/>
      <c r="J131" s="85"/>
      <c r="K131" s="85"/>
      <c r="L131" s="85"/>
      <c r="M131" s="93" t="e">
        <f>#REF!&amp;" "&amp;ContractorPayroll[[#This Row],[Employee ID Number / Code]]</f>
        <v>#REF!</v>
      </c>
      <c r="N131" s="71" t="str">
        <f>_xlfn.IFNA(IF(C131="","",VLOOKUP(ContractorPayroll[[#This Row],[Position / Title]],Lists!I:K,3,FALSE)),"")</f>
        <v/>
      </c>
      <c r="O131" s="42" t="str">
        <f>IF(ContractorPayroll[[#This Row],[Position / Title]]="","",VLOOKUP(ContractorPayroll[[#This Row],[Position / Title]],Lists!I:K,2,FALSE))</f>
        <v/>
      </c>
      <c r="P131" s="22" t="str">
        <f>IF(D131="","",ContractorPayroll[[#This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1" s="31">
        <f>IFERROR(IF(ContractorPayroll[[#This Row],[Annual Cost of Wage Increase included in Rate Adjustment]]=0,0,R131*'Facility Info Input'!$F$10),0)</f>
        <v>0</v>
      </c>
      <c r="T131" s="32">
        <f t="shared" si="8"/>
        <v>0</v>
      </c>
      <c r="U131" s="32">
        <f t="shared" si="9"/>
        <v>0</v>
      </c>
      <c r="V131" s="32">
        <f t="shared" si="10"/>
        <v>0</v>
      </c>
      <c r="W131" s="32">
        <f t="shared" ref="W131:W194" si="11">IFERROR(SUM(R131:V131),0)</f>
        <v>0</v>
      </c>
    </row>
    <row r="132" spans="1:23">
      <c r="A132" s="77"/>
      <c r="B132" s="76"/>
      <c r="C132" s="77"/>
      <c r="D132" s="81"/>
      <c r="E132" s="82"/>
      <c r="F132" s="82"/>
      <c r="G132" s="83"/>
      <c r="H132" s="84"/>
      <c r="I132" s="85"/>
      <c r="J132" s="85"/>
      <c r="K132" s="85"/>
      <c r="L132" s="85"/>
      <c r="M132" s="93" t="e">
        <f>#REF!&amp;" "&amp;ContractorPayroll[[#This Row],[Employee ID Number / Code]]</f>
        <v>#REF!</v>
      </c>
      <c r="N132" s="71" t="str">
        <f>_xlfn.IFNA(IF(C132="","",VLOOKUP(ContractorPayroll[[#This Row],[Position / Title]],Lists!I:K,3,FALSE)),"")</f>
        <v/>
      </c>
      <c r="O132" s="42" t="str">
        <f>IF(ContractorPayroll[[#This Row],[Position / Title]]="","",VLOOKUP(ContractorPayroll[[#This Row],[Position / Title]],Lists!I:K,2,FALSE))</f>
        <v/>
      </c>
      <c r="P132" s="22" t="str">
        <f>IF(D132="","",ContractorPayroll[[#This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2" s="31">
        <f>IFERROR(IF(ContractorPayroll[[#This Row],[Annual Cost of Wage Increase included in Rate Adjustment]]=0,0,R132*'Facility Info Input'!$F$10),0)</f>
        <v>0</v>
      </c>
      <c r="T132" s="32">
        <f t="shared" si="8"/>
        <v>0</v>
      </c>
      <c r="U132" s="32">
        <f t="shared" si="9"/>
        <v>0</v>
      </c>
      <c r="V132" s="32">
        <f t="shared" si="10"/>
        <v>0</v>
      </c>
      <c r="W132" s="32">
        <f t="shared" si="11"/>
        <v>0</v>
      </c>
    </row>
    <row r="133" spans="1:23">
      <c r="A133" s="77"/>
      <c r="B133" s="76"/>
      <c r="C133" s="77"/>
      <c r="D133" s="81"/>
      <c r="E133" s="82"/>
      <c r="F133" s="82"/>
      <c r="G133" s="83"/>
      <c r="H133" s="84"/>
      <c r="I133" s="85"/>
      <c r="J133" s="85"/>
      <c r="K133" s="85"/>
      <c r="L133" s="85"/>
      <c r="M133" s="93" t="e">
        <f>#REF!&amp;" "&amp;ContractorPayroll[[#This Row],[Employee ID Number / Code]]</f>
        <v>#REF!</v>
      </c>
      <c r="N133" s="71" t="str">
        <f>_xlfn.IFNA(IF(C133="","",VLOOKUP(ContractorPayroll[[#This Row],[Position / Title]],Lists!I:K,3,FALSE)),"")</f>
        <v/>
      </c>
      <c r="O133" s="42" t="str">
        <f>IF(ContractorPayroll[[#This Row],[Position / Title]]="","",VLOOKUP(ContractorPayroll[[#This Row],[Position / Title]],Lists!I:K,2,FALSE))</f>
        <v/>
      </c>
      <c r="P133" s="22" t="str">
        <f>IF(D133="","",ContractorPayroll[[#This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3" s="31">
        <f>IFERROR(IF(ContractorPayroll[[#This Row],[Annual Cost of Wage Increase included in Rate Adjustment]]=0,0,R133*'Facility Info Input'!$F$10),0)</f>
        <v>0</v>
      </c>
      <c r="T133" s="32">
        <f t="shared" si="8"/>
        <v>0</v>
      </c>
      <c r="U133" s="32">
        <f t="shared" si="9"/>
        <v>0</v>
      </c>
      <c r="V133" s="32">
        <f t="shared" si="10"/>
        <v>0</v>
      </c>
      <c r="W133" s="32">
        <f t="shared" si="11"/>
        <v>0</v>
      </c>
    </row>
    <row r="134" spans="1:23">
      <c r="A134" s="77"/>
      <c r="B134" s="76"/>
      <c r="C134" s="77"/>
      <c r="D134" s="81"/>
      <c r="E134" s="82"/>
      <c r="F134" s="82"/>
      <c r="G134" s="83"/>
      <c r="H134" s="84"/>
      <c r="I134" s="85"/>
      <c r="J134" s="85"/>
      <c r="K134" s="85"/>
      <c r="L134" s="85"/>
      <c r="M134" s="93" t="e">
        <f>#REF!&amp;" "&amp;ContractorPayroll[[#This Row],[Employee ID Number / Code]]</f>
        <v>#REF!</v>
      </c>
      <c r="N134" s="71" t="str">
        <f>_xlfn.IFNA(IF(C134="","",VLOOKUP(ContractorPayroll[[#This Row],[Position / Title]],Lists!I:K,3,FALSE)),"")</f>
        <v/>
      </c>
      <c r="O134" s="42" t="str">
        <f>IF(ContractorPayroll[[#This Row],[Position / Title]]="","",VLOOKUP(ContractorPayroll[[#This Row],[Position / Title]],Lists!I:K,2,FALSE))</f>
        <v/>
      </c>
      <c r="P134" s="22" t="str">
        <f>IF(D134="","",ContractorPayroll[[#This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4" s="31">
        <f>IFERROR(IF(ContractorPayroll[[#This Row],[Annual Cost of Wage Increase included in Rate Adjustment]]=0,0,R134*'Facility Info Input'!$F$10),0)</f>
        <v>0</v>
      </c>
      <c r="T134" s="32">
        <f t="shared" si="8"/>
        <v>0</v>
      </c>
      <c r="U134" s="32">
        <f t="shared" si="9"/>
        <v>0</v>
      </c>
      <c r="V134" s="32">
        <f t="shared" si="10"/>
        <v>0</v>
      </c>
      <c r="W134" s="32">
        <f t="shared" si="11"/>
        <v>0</v>
      </c>
    </row>
    <row r="135" spans="1:23">
      <c r="A135" s="77"/>
      <c r="B135" s="76"/>
      <c r="C135" s="77"/>
      <c r="D135" s="81"/>
      <c r="E135" s="82"/>
      <c r="F135" s="82"/>
      <c r="G135" s="83"/>
      <c r="H135" s="84"/>
      <c r="I135" s="85"/>
      <c r="J135" s="85"/>
      <c r="K135" s="85"/>
      <c r="L135" s="85"/>
      <c r="M135" s="93" t="e">
        <f>#REF!&amp;" "&amp;ContractorPayroll[[#This Row],[Employee ID Number / Code]]</f>
        <v>#REF!</v>
      </c>
      <c r="N135" s="71" t="str">
        <f>_xlfn.IFNA(IF(C135="","",VLOOKUP(ContractorPayroll[[#This Row],[Position / Title]],Lists!I:K,3,FALSE)),"")</f>
        <v/>
      </c>
      <c r="O135" s="42" t="str">
        <f>IF(ContractorPayroll[[#This Row],[Position / Title]]="","",VLOOKUP(ContractorPayroll[[#This Row],[Position / Title]],Lists!I:K,2,FALSE))</f>
        <v/>
      </c>
      <c r="P135" s="22" t="str">
        <f>IF(D135="","",ContractorPayroll[[#This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5" s="31">
        <f>IFERROR(IF(ContractorPayroll[[#This Row],[Annual Cost of Wage Increase included in Rate Adjustment]]=0,0,R135*'Facility Info Input'!$F$10),0)</f>
        <v>0</v>
      </c>
      <c r="T135" s="32">
        <f t="shared" si="8"/>
        <v>0</v>
      </c>
      <c r="U135" s="32">
        <f t="shared" si="9"/>
        <v>0</v>
      </c>
      <c r="V135" s="32">
        <f t="shared" si="10"/>
        <v>0</v>
      </c>
      <c r="W135" s="32">
        <f t="shared" si="11"/>
        <v>0</v>
      </c>
    </row>
    <row r="136" spans="1:23">
      <c r="A136" s="77"/>
      <c r="B136" s="76"/>
      <c r="C136" s="77"/>
      <c r="D136" s="81"/>
      <c r="E136" s="82"/>
      <c r="F136" s="82"/>
      <c r="G136" s="83"/>
      <c r="H136" s="84"/>
      <c r="I136" s="85"/>
      <c r="J136" s="85"/>
      <c r="K136" s="85"/>
      <c r="L136" s="85"/>
      <c r="M136" s="93" t="e">
        <f>#REF!&amp;" "&amp;ContractorPayroll[[#This Row],[Employee ID Number / Code]]</f>
        <v>#REF!</v>
      </c>
      <c r="N136" s="71" t="str">
        <f>_xlfn.IFNA(IF(C136="","",VLOOKUP(ContractorPayroll[[#This Row],[Position / Title]],Lists!I:K,3,FALSE)),"")</f>
        <v/>
      </c>
      <c r="O136" s="42" t="str">
        <f>IF(ContractorPayroll[[#This Row],[Position / Title]]="","",VLOOKUP(ContractorPayroll[[#This Row],[Position / Title]],Lists!I:K,2,FALSE))</f>
        <v/>
      </c>
      <c r="P136" s="22" t="str">
        <f>IF(D136="","",ContractorPayroll[[#This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6" s="31">
        <f>IFERROR(IF(ContractorPayroll[[#This Row],[Annual Cost of Wage Increase included in Rate Adjustment]]=0,0,R136*'Facility Info Input'!$F$10),0)</f>
        <v>0</v>
      </c>
      <c r="T136" s="32">
        <f t="shared" si="8"/>
        <v>0</v>
      </c>
      <c r="U136" s="32">
        <f t="shared" si="9"/>
        <v>0</v>
      </c>
      <c r="V136" s="32">
        <f t="shared" si="10"/>
        <v>0</v>
      </c>
      <c r="W136" s="32">
        <f t="shared" si="11"/>
        <v>0</v>
      </c>
    </row>
    <row r="137" spans="1:23">
      <c r="A137" s="77"/>
      <c r="B137" s="76"/>
      <c r="C137" s="77"/>
      <c r="D137" s="81"/>
      <c r="E137" s="82"/>
      <c r="F137" s="82"/>
      <c r="G137" s="83"/>
      <c r="H137" s="84"/>
      <c r="I137" s="85"/>
      <c r="J137" s="85"/>
      <c r="K137" s="85"/>
      <c r="L137" s="85"/>
      <c r="M137" s="93" t="e">
        <f>#REF!&amp;" "&amp;ContractorPayroll[[#This Row],[Employee ID Number / Code]]</f>
        <v>#REF!</v>
      </c>
      <c r="N137" s="71" t="str">
        <f>_xlfn.IFNA(IF(C137="","",VLOOKUP(ContractorPayroll[[#This Row],[Position / Title]],Lists!I:K,3,FALSE)),"")</f>
        <v/>
      </c>
      <c r="O137" s="42" t="str">
        <f>IF(ContractorPayroll[[#This Row],[Position / Title]]="","",VLOOKUP(ContractorPayroll[[#This Row],[Position / Title]],Lists!I:K,2,FALSE))</f>
        <v/>
      </c>
      <c r="P137" s="22" t="str">
        <f>IF(D137="","",ContractorPayroll[[#This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7" s="31">
        <f>IFERROR(IF(ContractorPayroll[[#This Row],[Annual Cost of Wage Increase included in Rate Adjustment]]=0,0,R137*'Facility Info Input'!$F$10),0)</f>
        <v>0</v>
      </c>
      <c r="T137" s="32">
        <f t="shared" si="8"/>
        <v>0</v>
      </c>
      <c r="U137" s="32">
        <f t="shared" si="9"/>
        <v>0</v>
      </c>
      <c r="V137" s="32">
        <f t="shared" si="10"/>
        <v>0</v>
      </c>
      <c r="W137" s="32">
        <f t="shared" si="11"/>
        <v>0</v>
      </c>
    </row>
    <row r="138" spans="1:23">
      <c r="A138" s="77"/>
      <c r="B138" s="76"/>
      <c r="C138" s="77"/>
      <c r="D138" s="81"/>
      <c r="E138" s="82"/>
      <c r="F138" s="82"/>
      <c r="G138" s="83"/>
      <c r="H138" s="84"/>
      <c r="I138" s="85"/>
      <c r="J138" s="85"/>
      <c r="K138" s="85"/>
      <c r="L138" s="85"/>
      <c r="M138" s="93" t="e">
        <f>#REF!&amp;" "&amp;ContractorPayroll[[#This Row],[Employee ID Number / Code]]</f>
        <v>#REF!</v>
      </c>
      <c r="N138" s="71" t="str">
        <f>_xlfn.IFNA(IF(C138="","",VLOOKUP(ContractorPayroll[[#This Row],[Position / Title]],Lists!I:K,3,FALSE)),"")</f>
        <v/>
      </c>
      <c r="O138" s="42" t="str">
        <f>IF(ContractorPayroll[[#This Row],[Position / Title]]="","",VLOOKUP(ContractorPayroll[[#This Row],[Position / Title]],Lists!I:K,2,FALSE))</f>
        <v/>
      </c>
      <c r="P138" s="22" t="str">
        <f>IF(D138="","",ContractorPayroll[[#This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8" s="31">
        <f>IFERROR(IF(ContractorPayroll[[#This Row],[Annual Cost of Wage Increase included in Rate Adjustment]]=0,0,R138*'Facility Info Input'!$F$10),0)</f>
        <v>0</v>
      </c>
      <c r="T138" s="32">
        <f t="shared" si="8"/>
        <v>0</v>
      </c>
      <c r="U138" s="32">
        <f t="shared" si="9"/>
        <v>0</v>
      </c>
      <c r="V138" s="32">
        <f t="shared" si="10"/>
        <v>0</v>
      </c>
      <c r="W138" s="32">
        <f t="shared" si="11"/>
        <v>0</v>
      </c>
    </row>
    <row r="139" spans="1:23">
      <c r="A139" s="77"/>
      <c r="B139" s="76"/>
      <c r="C139" s="77"/>
      <c r="D139" s="81"/>
      <c r="E139" s="82"/>
      <c r="F139" s="82"/>
      <c r="G139" s="83"/>
      <c r="H139" s="84"/>
      <c r="I139" s="85"/>
      <c r="J139" s="85"/>
      <c r="K139" s="85"/>
      <c r="L139" s="85"/>
      <c r="M139" s="93" t="e">
        <f>#REF!&amp;" "&amp;ContractorPayroll[[#This Row],[Employee ID Number / Code]]</f>
        <v>#REF!</v>
      </c>
      <c r="N139" s="71" t="str">
        <f>_xlfn.IFNA(IF(C139="","",VLOOKUP(ContractorPayroll[[#This Row],[Position / Title]],Lists!I:K,3,FALSE)),"")</f>
        <v/>
      </c>
      <c r="O139" s="42" t="str">
        <f>IF(ContractorPayroll[[#This Row],[Position / Title]]="","",VLOOKUP(ContractorPayroll[[#This Row],[Position / Title]],Lists!I:K,2,FALSE))</f>
        <v/>
      </c>
      <c r="P139" s="22" t="str">
        <f>IF(D139="","",ContractorPayroll[[#This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3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3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39" s="31">
        <f>IFERROR(IF(ContractorPayroll[[#This Row],[Annual Cost of Wage Increase included in Rate Adjustment]]=0,0,R139*'Facility Info Input'!$F$10),0)</f>
        <v>0</v>
      </c>
      <c r="T139" s="32">
        <f t="shared" si="8"/>
        <v>0</v>
      </c>
      <c r="U139" s="32">
        <f t="shared" si="9"/>
        <v>0</v>
      </c>
      <c r="V139" s="32">
        <f t="shared" si="10"/>
        <v>0</v>
      </c>
      <c r="W139" s="32">
        <f t="shared" si="11"/>
        <v>0</v>
      </c>
    </row>
    <row r="140" spans="1:23">
      <c r="A140" s="77"/>
      <c r="B140" s="76"/>
      <c r="C140" s="77"/>
      <c r="D140" s="81"/>
      <c r="E140" s="82"/>
      <c r="F140" s="82"/>
      <c r="G140" s="83"/>
      <c r="H140" s="84"/>
      <c r="I140" s="85"/>
      <c r="J140" s="85"/>
      <c r="K140" s="85"/>
      <c r="L140" s="85"/>
      <c r="M140" s="93" t="e">
        <f>#REF!&amp;" "&amp;ContractorPayroll[[#This Row],[Employee ID Number / Code]]</f>
        <v>#REF!</v>
      </c>
      <c r="N140" s="71" t="str">
        <f>_xlfn.IFNA(IF(C140="","",VLOOKUP(ContractorPayroll[[#This Row],[Position / Title]],Lists!I:K,3,FALSE)),"")</f>
        <v/>
      </c>
      <c r="O140" s="42" t="str">
        <f>IF(ContractorPayroll[[#This Row],[Position / Title]]="","",VLOOKUP(ContractorPayroll[[#This Row],[Position / Title]],Lists!I:K,2,FALSE))</f>
        <v/>
      </c>
      <c r="P140" s="22" t="str">
        <f>IF(D140="","",ContractorPayroll[[#This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0" s="31">
        <f>IFERROR(IF(ContractorPayroll[[#This Row],[Annual Cost of Wage Increase included in Rate Adjustment]]=0,0,R140*'Facility Info Input'!$F$10),0)</f>
        <v>0</v>
      </c>
      <c r="T140" s="32">
        <f t="shared" si="8"/>
        <v>0</v>
      </c>
      <c r="U140" s="32">
        <f t="shared" si="9"/>
        <v>0</v>
      </c>
      <c r="V140" s="32">
        <f t="shared" si="10"/>
        <v>0</v>
      </c>
      <c r="W140" s="32">
        <f t="shared" si="11"/>
        <v>0</v>
      </c>
    </row>
    <row r="141" spans="1:23">
      <c r="A141" s="77"/>
      <c r="B141" s="76"/>
      <c r="C141" s="77"/>
      <c r="D141" s="81"/>
      <c r="E141" s="82"/>
      <c r="F141" s="82"/>
      <c r="G141" s="83"/>
      <c r="H141" s="84"/>
      <c r="I141" s="85"/>
      <c r="J141" s="85"/>
      <c r="K141" s="85"/>
      <c r="L141" s="85"/>
      <c r="M141" s="93" t="e">
        <f>#REF!&amp;" "&amp;ContractorPayroll[[#This Row],[Employee ID Number / Code]]</f>
        <v>#REF!</v>
      </c>
      <c r="N141" s="71" t="str">
        <f>_xlfn.IFNA(IF(C141="","",VLOOKUP(ContractorPayroll[[#This Row],[Position / Title]],Lists!I:K,3,FALSE)),"")</f>
        <v/>
      </c>
      <c r="O141" s="42" t="str">
        <f>IF(ContractorPayroll[[#This Row],[Position / Title]]="","",VLOOKUP(ContractorPayroll[[#This Row],[Position / Title]],Lists!I:K,2,FALSE))</f>
        <v/>
      </c>
      <c r="P141" s="22" t="str">
        <f>IF(D141="","",ContractorPayroll[[#This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1" s="31">
        <f>IFERROR(IF(ContractorPayroll[[#This Row],[Annual Cost of Wage Increase included in Rate Adjustment]]=0,0,R141*'Facility Info Input'!$F$10),0)</f>
        <v>0</v>
      </c>
      <c r="T141" s="32">
        <f t="shared" si="8"/>
        <v>0</v>
      </c>
      <c r="U141" s="32">
        <f t="shared" si="9"/>
        <v>0</v>
      </c>
      <c r="V141" s="32">
        <f t="shared" si="10"/>
        <v>0</v>
      </c>
      <c r="W141" s="32">
        <f t="shared" si="11"/>
        <v>0</v>
      </c>
    </row>
    <row r="142" spans="1:23">
      <c r="A142" s="77"/>
      <c r="B142" s="76"/>
      <c r="C142" s="77"/>
      <c r="D142" s="81"/>
      <c r="E142" s="82"/>
      <c r="F142" s="82"/>
      <c r="G142" s="83"/>
      <c r="H142" s="84"/>
      <c r="I142" s="85"/>
      <c r="J142" s="85"/>
      <c r="K142" s="85"/>
      <c r="L142" s="85"/>
      <c r="M142" s="93" t="e">
        <f>#REF!&amp;" "&amp;ContractorPayroll[[#This Row],[Employee ID Number / Code]]</f>
        <v>#REF!</v>
      </c>
      <c r="N142" s="71" t="str">
        <f>_xlfn.IFNA(IF(C142="","",VLOOKUP(ContractorPayroll[[#This Row],[Position / Title]],Lists!I:K,3,FALSE)),"")</f>
        <v/>
      </c>
      <c r="O142" s="42" t="str">
        <f>IF(ContractorPayroll[[#This Row],[Position / Title]]="","",VLOOKUP(ContractorPayroll[[#This Row],[Position / Title]],Lists!I:K,2,FALSE))</f>
        <v/>
      </c>
      <c r="P142" s="22" t="str">
        <f>IF(D142="","",ContractorPayroll[[#This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2" s="31">
        <f>IFERROR(IF(ContractorPayroll[[#This Row],[Annual Cost of Wage Increase included in Rate Adjustment]]=0,0,R142*'Facility Info Input'!$F$10),0)</f>
        <v>0</v>
      </c>
      <c r="T142" s="32">
        <f t="shared" si="8"/>
        <v>0</v>
      </c>
      <c r="U142" s="32">
        <f t="shared" si="9"/>
        <v>0</v>
      </c>
      <c r="V142" s="32">
        <f t="shared" si="10"/>
        <v>0</v>
      </c>
      <c r="W142" s="32">
        <f t="shared" si="11"/>
        <v>0</v>
      </c>
    </row>
    <row r="143" spans="1:23">
      <c r="A143" s="77"/>
      <c r="B143" s="76"/>
      <c r="C143" s="77"/>
      <c r="D143" s="81"/>
      <c r="E143" s="82"/>
      <c r="F143" s="82"/>
      <c r="G143" s="83"/>
      <c r="H143" s="84"/>
      <c r="I143" s="85"/>
      <c r="J143" s="85"/>
      <c r="K143" s="85"/>
      <c r="L143" s="85"/>
      <c r="M143" s="93" t="e">
        <f>#REF!&amp;" "&amp;ContractorPayroll[[#This Row],[Employee ID Number / Code]]</f>
        <v>#REF!</v>
      </c>
      <c r="N143" s="71" t="str">
        <f>_xlfn.IFNA(IF(C143="","",VLOOKUP(ContractorPayroll[[#This Row],[Position / Title]],Lists!I:K,3,FALSE)),"")</f>
        <v/>
      </c>
      <c r="O143" s="42" t="str">
        <f>IF(ContractorPayroll[[#This Row],[Position / Title]]="","",VLOOKUP(ContractorPayroll[[#This Row],[Position / Title]],Lists!I:K,2,FALSE))</f>
        <v/>
      </c>
      <c r="P143" s="22" t="str">
        <f>IF(D143="","",ContractorPayroll[[#This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3" s="31">
        <f>IFERROR(IF(ContractorPayroll[[#This Row],[Annual Cost of Wage Increase included in Rate Adjustment]]=0,0,R143*'Facility Info Input'!$F$10),0)</f>
        <v>0</v>
      </c>
      <c r="T143" s="32">
        <f t="shared" si="8"/>
        <v>0</v>
      </c>
      <c r="U143" s="32">
        <f t="shared" si="9"/>
        <v>0</v>
      </c>
      <c r="V143" s="32">
        <f t="shared" si="10"/>
        <v>0</v>
      </c>
      <c r="W143" s="32">
        <f t="shared" si="11"/>
        <v>0</v>
      </c>
    </row>
    <row r="144" spans="1:23">
      <c r="A144" s="77"/>
      <c r="B144" s="76"/>
      <c r="C144" s="77"/>
      <c r="D144" s="81"/>
      <c r="E144" s="82"/>
      <c r="F144" s="82"/>
      <c r="G144" s="83"/>
      <c r="H144" s="84"/>
      <c r="I144" s="85"/>
      <c r="J144" s="85"/>
      <c r="K144" s="85"/>
      <c r="L144" s="85"/>
      <c r="M144" s="93" t="e">
        <f>#REF!&amp;" "&amp;ContractorPayroll[[#This Row],[Employee ID Number / Code]]</f>
        <v>#REF!</v>
      </c>
      <c r="N144" s="71" t="str">
        <f>_xlfn.IFNA(IF(C144="","",VLOOKUP(ContractorPayroll[[#This Row],[Position / Title]],Lists!I:K,3,FALSE)),"")</f>
        <v/>
      </c>
      <c r="O144" s="42" t="str">
        <f>IF(ContractorPayroll[[#This Row],[Position / Title]]="","",VLOOKUP(ContractorPayroll[[#This Row],[Position / Title]],Lists!I:K,2,FALSE))</f>
        <v/>
      </c>
      <c r="P144" s="22" t="str">
        <f>IF(D144="","",ContractorPayroll[[#This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4" s="31">
        <f>IFERROR(IF(ContractorPayroll[[#This Row],[Annual Cost of Wage Increase included in Rate Adjustment]]=0,0,R144*'Facility Info Input'!$F$10),0)</f>
        <v>0</v>
      </c>
      <c r="T144" s="32">
        <f t="shared" si="8"/>
        <v>0</v>
      </c>
      <c r="U144" s="32">
        <f t="shared" si="9"/>
        <v>0</v>
      </c>
      <c r="V144" s="32">
        <f t="shared" si="10"/>
        <v>0</v>
      </c>
      <c r="W144" s="32">
        <f t="shared" si="11"/>
        <v>0</v>
      </c>
    </row>
    <row r="145" spans="1:23">
      <c r="A145" s="77"/>
      <c r="B145" s="76"/>
      <c r="C145" s="77"/>
      <c r="D145" s="81"/>
      <c r="E145" s="82"/>
      <c r="F145" s="82"/>
      <c r="G145" s="83"/>
      <c r="H145" s="84"/>
      <c r="I145" s="85"/>
      <c r="J145" s="85"/>
      <c r="K145" s="85"/>
      <c r="L145" s="85"/>
      <c r="M145" s="93" t="e">
        <f>#REF!&amp;" "&amp;ContractorPayroll[[#This Row],[Employee ID Number / Code]]</f>
        <v>#REF!</v>
      </c>
      <c r="N145" s="71" t="str">
        <f>_xlfn.IFNA(IF(C145="","",VLOOKUP(ContractorPayroll[[#This Row],[Position / Title]],Lists!I:K,3,FALSE)),"")</f>
        <v/>
      </c>
      <c r="O145" s="42" t="str">
        <f>IF(ContractorPayroll[[#This Row],[Position / Title]]="","",VLOOKUP(ContractorPayroll[[#This Row],[Position / Title]],Lists!I:K,2,FALSE))</f>
        <v/>
      </c>
      <c r="P145" s="22" t="str">
        <f>IF(D145="","",ContractorPayroll[[#This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5" s="31">
        <f>IFERROR(IF(ContractorPayroll[[#This Row],[Annual Cost of Wage Increase included in Rate Adjustment]]=0,0,R145*'Facility Info Input'!$F$10),0)</f>
        <v>0</v>
      </c>
      <c r="T145" s="32">
        <f t="shared" si="8"/>
        <v>0</v>
      </c>
      <c r="U145" s="32">
        <f t="shared" si="9"/>
        <v>0</v>
      </c>
      <c r="V145" s="32">
        <f t="shared" si="10"/>
        <v>0</v>
      </c>
      <c r="W145" s="32">
        <f t="shared" si="11"/>
        <v>0</v>
      </c>
    </row>
    <row r="146" spans="1:23">
      <c r="A146" s="77"/>
      <c r="B146" s="76"/>
      <c r="C146" s="77"/>
      <c r="D146" s="81"/>
      <c r="E146" s="82"/>
      <c r="F146" s="82"/>
      <c r="G146" s="83"/>
      <c r="H146" s="84"/>
      <c r="I146" s="85"/>
      <c r="J146" s="85"/>
      <c r="K146" s="85"/>
      <c r="L146" s="85"/>
      <c r="M146" s="93" t="e">
        <f>#REF!&amp;" "&amp;ContractorPayroll[[#This Row],[Employee ID Number / Code]]</f>
        <v>#REF!</v>
      </c>
      <c r="N146" s="71" t="str">
        <f>_xlfn.IFNA(IF(C146="","",VLOOKUP(ContractorPayroll[[#This Row],[Position / Title]],Lists!I:K,3,FALSE)),"")</f>
        <v/>
      </c>
      <c r="O146" s="42" t="str">
        <f>IF(ContractorPayroll[[#This Row],[Position / Title]]="","",VLOOKUP(ContractorPayroll[[#This Row],[Position / Title]],Lists!I:K,2,FALSE))</f>
        <v/>
      </c>
      <c r="P146" s="22" t="str">
        <f>IF(D146="","",ContractorPayroll[[#This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6" s="31">
        <f>IFERROR(IF(ContractorPayroll[[#This Row],[Annual Cost of Wage Increase included in Rate Adjustment]]=0,0,R146*'Facility Info Input'!$F$10),0)</f>
        <v>0</v>
      </c>
      <c r="T146" s="32">
        <f t="shared" si="8"/>
        <v>0</v>
      </c>
      <c r="U146" s="32">
        <f t="shared" si="9"/>
        <v>0</v>
      </c>
      <c r="V146" s="32">
        <f t="shared" si="10"/>
        <v>0</v>
      </c>
      <c r="W146" s="32">
        <f t="shared" si="11"/>
        <v>0</v>
      </c>
    </row>
    <row r="147" spans="1:23">
      <c r="A147" s="77"/>
      <c r="B147" s="76"/>
      <c r="C147" s="77"/>
      <c r="D147" s="81"/>
      <c r="E147" s="82"/>
      <c r="F147" s="82"/>
      <c r="G147" s="83"/>
      <c r="H147" s="84"/>
      <c r="I147" s="85"/>
      <c r="J147" s="85"/>
      <c r="K147" s="85"/>
      <c r="L147" s="85"/>
      <c r="M147" s="93" t="e">
        <f>#REF!&amp;" "&amp;ContractorPayroll[[#This Row],[Employee ID Number / Code]]</f>
        <v>#REF!</v>
      </c>
      <c r="N147" s="71" t="str">
        <f>_xlfn.IFNA(IF(C147="","",VLOOKUP(ContractorPayroll[[#This Row],[Position / Title]],Lists!I:K,3,FALSE)),"")</f>
        <v/>
      </c>
      <c r="O147" s="42" t="str">
        <f>IF(ContractorPayroll[[#This Row],[Position / Title]]="","",VLOOKUP(ContractorPayroll[[#This Row],[Position / Title]],Lists!I:K,2,FALSE))</f>
        <v/>
      </c>
      <c r="P147" s="22" t="str">
        <f>IF(D147="","",ContractorPayroll[[#This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7" s="31">
        <f>IFERROR(IF(ContractorPayroll[[#This Row],[Annual Cost of Wage Increase included in Rate Adjustment]]=0,0,R147*'Facility Info Input'!$F$10),0)</f>
        <v>0</v>
      </c>
      <c r="T147" s="32">
        <f t="shared" si="8"/>
        <v>0</v>
      </c>
      <c r="U147" s="32">
        <f t="shared" si="9"/>
        <v>0</v>
      </c>
      <c r="V147" s="32">
        <f t="shared" si="10"/>
        <v>0</v>
      </c>
      <c r="W147" s="32">
        <f t="shared" si="11"/>
        <v>0</v>
      </c>
    </row>
    <row r="148" spans="1:23">
      <c r="A148" s="77"/>
      <c r="B148" s="76"/>
      <c r="C148" s="77"/>
      <c r="D148" s="81"/>
      <c r="E148" s="82"/>
      <c r="F148" s="82"/>
      <c r="G148" s="83"/>
      <c r="H148" s="84"/>
      <c r="I148" s="85"/>
      <c r="J148" s="85"/>
      <c r="K148" s="85"/>
      <c r="L148" s="85"/>
      <c r="M148" s="93" t="e">
        <f>#REF!&amp;" "&amp;ContractorPayroll[[#This Row],[Employee ID Number / Code]]</f>
        <v>#REF!</v>
      </c>
      <c r="N148" s="71" t="str">
        <f>_xlfn.IFNA(IF(C148="","",VLOOKUP(ContractorPayroll[[#This Row],[Position / Title]],Lists!I:K,3,FALSE)),"")</f>
        <v/>
      </c>
      <c r="O148" s="42" t="str">
        <f>IF(ContractorPayroll[[#This Row],[Position / Title]]="","",VLOOKUP(ContractorPayroll[[#This Row],[Position / Title]],Lists!I:K,2,FALSE))</f>
        <v/>
      </c>
      <c r="P148" s="22" t="str">
        <f>IF(D148="","",ContractorPayroll[[#This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8" s="31">
        <f>IFERROR(IF(ContractorPayroll[[#This Row],[Annual Cost of Wage Increase included in Rate Adjustment]]=0,0,R148*'Facility Info Input'!$F$10),0)</f>
        <v>0</v>
      </c>
      <c r="T148" s="32">
        <f t="shared" si="8"/>
        <v>0</v>
      </c>
      <c r="U148" s="32">
        <f t="shared" si="9"/>
        <v>0</v>
      </c>
      <c r="V148" s="32">
        <f t="shared" si="10"/>
        <v>0</v>
      </c>
      <c r="W148" s="32">
        <f t="shared" si="11"/>
        <v>0</v>
      </c>
    </row>
    <row r="149" spans="1:23">
      <c r="A149" s="77"/>
      <c r="B149" s="76"/>
      <c r="C149" s="77"/>
      <c r="D149" s="81"/>
      <c r="E149" s="82"/>
      <c r="F149" s="82"/>
      <c r="G149" s="83"/>
      <c r="H149" s="84"/>
      <c r="I149" s="85"/>
      <c r="J149" s="85"/>
      <c r="K149" s="85"/>
      <c r="L149" s="85"/>
      <c r="M149" s="93" t="e">
        <f>#REF!&amp;" "&amp;ContractorPayroll[[#This Row],[Employee ID Number / Code]]</f>
        <v>#REF!</v>
      </c>
      <c r="N149" s="71" t="str">
        <f>_xlfn.IFNA(IF(C149="","",VLOOKUP(ContractorPayroll[[#This Row],[Position / Title]],Lists!I:K,3,FALSE)),"")</f>
        <v/>
      </c>
      <c r="O149" s="42" t="str">
        <f>IF(ContractorPayroll[[#This Row],[Position / Title]]="","",VLOOKUP(ContractorPayroll[[#This Row],[Position / Title]],Lists!I:K,2,FALSE))</f>
        <v/>
      </c>
      <c r="P149" s="22" t="str">
        <f>IF(D149="","",ContractorPayroll[[#This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4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4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49" s="31">
        <f>IFERROR(IF(ContractorPayroll[[#This Row],[Annual Cost of Wage Increase included in Rate Adjustment]]=0,0,R149*'Facility Info Input'!$F$10),0)</f>
        <v>0</v>
      </c>
      <c r="T149" s="32">
        <f t="shared" si="8"/>
        <v>0</v>
      </c>
      <c r="U149" s="32">
        <f t="shared" si="9"/>
        <v>0</v>
      </c>
      <c r="V149" s="32">
        <f t="shared" si="10"/>
        <v>0</v>
      </c>
      <c r="W149" s="32">
        <f t="shared" si="11"/>
        <v>0</v>
      </c>
    </row>
    <row r="150" spans="1:23">
      <c r="A150" s="77"/>
      <c r="B150" s="76"/>
      <c r="C150" s="77"/>
      <c r="D150" s="81"/>
      <c r="E150" s="82"/>
      <c r="F150" s="82"/>
      <c r="G150" s="83"/>
      <c r="H150" s="84"/>
      <c r="I150" s="85"/>
      <c r="J150" s="85"/>
      <c r="K150" s="85"/>
      <c r="L150" s="85"/>
      <c r="M150" s="93" t="e">
        <f>#REF!&amp;" "&amp;ContractorPayroll[[#This Row],[Employee ID Number / Code]]</f>
        <v>#REF!</v>
      </c>
      <c r="N150" s="71" t="str">
        <f>_xlfn.IFNA(IF(C150="","",VLOOKUP(ContractorPayroll[[#This Row],[Position / Title]],Lists!I:K,3,FALSE)),"")</f>
        <v/>
      </c>
      <c r="O150" s="42" t="str">
        <f>IF(ContractorPayroll[[#This Row],[Position / Title]]="","",VLOOKUP(ContractorPayroll[[#This Row],[Position / Title]],Lists!I:K,2,FALSE))</f>
        <v/>
      </c>
      <c r="P150" s="22" t="str">
        <f>IF(D150="","",ContractorPayroll[[#This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0" s="31">
        <f>IFERROR(IF(ContractorPayroll[[#This Row],[Annual Cost of Wage Increase included in Rate Adjustment]]=0,0,R150*'Facility Info Input'!$F$10),0)</f>
        <v>0</v>
      </c>
      <c r="T150" s="32">
        <f t="shared" si="8"/>
        <v>0</v>
      </c>
      <c r="U150" s="32">
        <f t="shared" si="9"/>
        <v>0</v>
      </c>
      <c r="V150" s="32">
        <f t="shared" si="10"/>
        <v>0</v>
      </c>
      <c r="W150" s="32">
        <f t="shared" si="11"/>
        <v>0</v>
      </c>
    </row>
    <row r="151" spans="1:23">
      <c r="A151" s="77"/>
      <c r="B151" s="76"/>
      <c r="C151" s="77"/>
      <c r="D151" s="81"/>
      <c r="E151" s="82"/>
      <c r="F151" s="82"/>
      <c r="G151" s="83"/>
      <c r="H151" s="84"/>
      <c r="I151" s="85"/>
      <c r="J151" s="85"/>
      <c r="K151" s="85"/>
      <c r="L151" s="85"/>
      <c r="M151" s="93" t="e">
        <f>#REF!&amp;" "&amp;ContractorPayroll[[#This Row],[Employee ID Number / Code]]</f>
        <v>#REF!</v>
      </c>
      <c r="N151" s="71" t="str">
        <f>_xlfn.IFNA(IF(C151="","",VLOOKUP(ContractorPayroll[[#This Row],[Position / Title]],Lists!I:K,3,FALSE)),"")</f>
        <v/>
      </c>
      <c r="O151" s="42" t="str">
        <f>IF(ContractorPayroll[[#This Row],[Position / Title]]="","",VLOOKUP(ContractorPayroll[[#This Row],[Position / Title]],Lists!I:K,2,FALSE))</f>
        <v/>
      </c>
      <c r="P151" s="22" t="str">
        <f>IF(D151="","",ContractorPayroll[[#This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1" s="31">
        <f>IFERROR(IF(ContractorPayroll[[#This Row],[Annual Cost of Wage Increase included in Rate Adjustment]]=0,0,R151*'Facility Info Input'!$F$10),0)</f>
        <v>0</v>
      </c>
      <c r="T151" s="32">
        <f t="shared" si="8"/>
        <v>0</v>
      </c>
      <c r="U151" s="32">
        <f t="shared" si="9"/>
        <v>0</v>
      </c>
      <c r="V151" s="32">
        <f t="shared" si="10"/>
        <v>0</v>
      </c>
      <c r="W151" s="32">
        <f t="shared" si="11"/>
        <v>0</v>
      </c>
    </row>
    <row r="152" spans="1:23">
      <c r="A152" s="77"/>
      <c r="B152" s="76"/>
      <c r="C152" s="77"/>
      <c r="D152" s="81"/>
      <c r="E152" s="82"/>
      <c r="F152" s="82"/>
      <c r="G152" s="83"/>
      <c r="H152" s="84"/>
      <c r="I152" s="85"/>
      <c r="J152" s="85"/>
      <c r="K152" s="85"/>
      <c r="L152" s="85"/>
      <c r="M152" s="93" t="e">
        <f>#REF!&amp;" "&amp;ContractorPayroll[[#This Row],[Employee ID Number / Code]]</f>
        <v>#REF!</v>
      </c>
      <c r="N152" s="71" t="str">
        <f>_xlfn.IFNA(IF(C152="","",VLOOKUP(ContractorPayroll[[#This Row],[Position / Title]],Lists!I:K,3,FALSE)),"")</f>
        <v/>
      </c>
      <c r="O152" s="42" t="str">
        <f>IF(ContractorPayroll[[#This Row],[Position / Title]]="","",VLOOKUP(ContractorPayroll[[#This Row],[Position / Title]],Lists!I:K,2,FALSE))</f>
        <v/>
      </c>
      <c r="P152" s="22" t="str">
        <f>IF(D152="","",ContractorPayroll[[#This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2" s="31">
        <f>IFERROR(IF(ContractorPayroll[[#This Row],[Annual Cost of Wage Increase included in Rate Adjustment]]=0,0,R152*'Facility Info Input'!$F$10),0)</f>
        <v>0</v>
      </c>
      <c r="T152" s="32">
        <f t="shared" si="8"/>
        <v>0</v>
      </c>
      <c r="U152" s="32">
        <f t="shared" si="9"/>
        <v>0</v>
      </c>
      <c r="V152" s="32">
        <f t="shared" si="10"/>
        <v>0</v>
      </c>
      <c r="W152" s="32">
        <f t="shared" si="11"/>
        <v>0</v>
      </c>
    </row>
    <row r="153" spans="1:23">
      <c r="A153" s="77"/>
      <c r="B153" s="76"/>
      <c r="C153" s="77"/>
      <c r="D153" s="81"/>
      <c r="E153" s="82"/>
      <c r="F153" s="82"/>
      <c r="G153" s="83"/>
      <c r="H153" s="84"/>
      <c r="I153" s="85"/>
      <c r="J153" s="85"/>
      <c r="K153" s="85"/>
      <c r="L153" s="85"/>
      <c r="M153" s="93" t="e">
        <f>#REF!&amp;" "&amp;ContractorPayroll[[#This Row],[Employee ID Number / Code]]</f>
        <v>#REF!</v>
      </c>
      <c r="N153" s="71" t="str">
        <f>_xlfn.IFNA(IF(C153="","",VLOOKUP(ContractorPayroll[[#This Row],[Position / Title]],Lists!I:K,3,FALSE)),"")</f>
        <v/>
      </c>
      <c r="O153" s="42" t="str">
        <f>IF(ContractorPayroll[[#This Row],[Position / Title]]="","",VLOOKUP(ContractorPayroll[[#This Row],[Position / Title]],Lists!I:K,2,FALSE))</f>
        <v/>
      </c>
      <c r="P153" s="22" t="str">
        <f>IF(D153="","",ContractorPayroll[[#This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3" s="31">
        <f>IFERROR(IF(ContractorPayroll[[#This Row],[Annual Cost of Wage Increase included in Rate Adjustment]]=0,0,R153*'Facility Info Input'!$F$10),0)</f>
        <v>0</v>
      </c>
      <c r="T153" s="32">
        <f t="shared" si="8"/>
        <v>0</v>
      </c>
      <c r="U153" s="32">
        <f t="shared" si="9"/>
        <v>0</v>
      </c>
      <c r="V153" s="32">
        <f t="shared" si="10"/>
        <v>0</v>
      </c>
      <c r="W153" s="32">
        <f t="shared" si="11"/>
        <v>0</v>
      </c>
    </row>
    <row r="154" spans="1:23">
      <c r="A154" s="77"/>
      <c r="B154" s="76"/>
      <c r="C154" s="77"/>
      <c r="D154" s="81"/>
      <c r="E154" s="82"/>
      <c r="F154" s="82"/>
      <c r="G154" s="83"/>
      <c r="H154" s="84"/>
      <c r="I154" s="85"/>
      <c r="J154" s="85"/>
      <c r="K154" s="85"/>
      <c r="L154" s="85"/>
      <c r="M154" s="93" t="e">
        <f>#REF!&amp;" "&amp;ContractorPayroll[[#This Row],[Employee ID Number / Code]]</f>
        <v>#REF!</v>
      </c>
      <c r="N154" s="71" t="str">
        <f>_xlfn.IFNA(IF(C154="","",VLOOKUP(ContractorPayroll[[#This Row],[Position / Title]],Lists!I:K,3,FALSE)),"")</f>
        <v/>
      </c>
      <c r="O154" s="42" t="str">
        <f>IF(ContractorPayroll[[#This Row],[Position / Title]]="","",VLOOKUP(ContractorPayroll[[#This Row],[Position / Title]],Lists!I:K,2,FALSE))</f>
        <v/>
      </c>
      <c r="P154" s="22" t="str">
        <f>IF(D154="","",ContractorPayroll[[#This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4" s="31">
        <f>IFERROR(IF(ContractorPayroll[[#This Row],[Annual Cost of Wage Increase included in Rate Adjustment]]=0,0,R154*'Facility Info Input'!$F$10),0)</f>
        <v>0</v>
      </c>
      <c r="T154" s="32">
        <f t="shared" si="8"/>
        <v>0</v>
      </c>
      <c r="U154" s="32">
        <f t="shared" si="9"/>
        <v>0</v>
      </c>
      <c r="V154" s="32">
        <f t="shared" si="10"/>
        <v>0</v>
      </c>
      <c r="W154" s="32">
        <f t="shared" si="11"/>
        <v>0</v>
      </c>
    </row>
    <row r="155" spans="1:23">
      <c r="A155" s="77"/>
      <c r="B155" s="76"/>
      <c r="C155" s="77"/>
      <c r="D155" s="81"/>
      <c r="E155" s="82"/>
      <c r="F155" s="82"/>
      <c r="G155" s="83"/>
      <c r="H155" s="84"/>
      <c r="I155" s="85"/>
      <c r="J155" s="85"/>
      <c r="K155" s="85"/>
      <c r="L155" s="85"/>
      <c r="M155" s="93" t="e">
        <f>#REF!&amp;" "&amp;ContractorPayroll[[#This Row],[Employee ID Number / Code]]</f>
        <v>#REF!</v>
      </c>
      <c r="N155" s="71" t="str">
        <f>_xlfn.IFNA(IF(C155="","",VLOOKUP(ContractorPayroll[[#This Row],[Position / Title]],Lists!I:K,3,FALSE)),"")</f>
        <v/>
      </c>
      <c r="O155" s="42" t="str">
        <f>IF(ContractorPayroll[[#This Row],[Position / Title]]="","",VLOOKUP(ContractorPayroll[[#This Row],[Position / Title]],Lists!I:K,2,FALSE))</f>
        <v/>
      </c>
      <c r="P155" s="22" t="str">
        <f>IF(D155="","",ContractorPayroll[[#This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5" s="31">
        <f>IFERROR(IF(ContractorPayroll[[#This Row],[Annual Cost of Wage Increase included in Rate Adjustment]]=0,0,R155*'Facility Info Input'!$F$10),0)</f>
        <v>0</v>
      </c>
      <c r="T155" s="32">
        <f t="shared" si="8"/>
        <v>0</v>
      </c>
      <c r="U155" s="32">
        <f t="shared" si="9"/>
        <v>0</v>
      </c>
      <c r="V155" s="32">
        <f t="shared" si="10"/>
        <v>0</v>
      </c>
      <c r="W155" s="32">
        <f t="shared" si="11"/>
        <v>0</v>
      </c>
    </row>
    <row r="156" spans="1:23">
      <c r="A156" s="77"/>
      <c r="B156" s="76"/>
      <c r="C156" s="77"/>
      <c r="D156" s="81"/>
      <c r="E156" s="82"/>
      <c r="F156" s="82"/>
      <c r="G156" s="83"/>
      <c r="H156" s="84"/>
      <c r="I156" s="85"/>
      <c r="J156" s="85"/>
      <c r="K156" s="85"/>
      <c r="L156" s="85"/>
      <c r="M156" s="93" t="e">
        <f>#REF!&amp;" "&amp;ContractorPayroll[[#This Row],[Employee ID Number / Code]]</f>
        <v>#REF!</v>
      </c>
      <c r="N156" s="71" t="str">
        <f>_xlfn.IFNA(IF(C156="","",VLOOKUP(ContractorPayroll[[#This Row],[Position / Title]],Lists!I:K,3,FALSE)),"")</f>
        <v/>
      </c>
      <c r="O156" s="42" t="str">
        <f>IF(ContractorPayroll[[#This Row],[Position / Title]]="","",VLOOKUP(ContractorPayroll[[#This Row],[Position / Title]],Lists!I:K,2,FALSE))</f>
        <v/>
      </c>
      <c r="P156" s="22" t="str">
        <f>IF(D156="","",ContractorPayroll[[#This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6" s="31">
        <f>IFERROR(IF(ContractorPayroll[[#This Row],[Annual Cost of Wage Increase included in Rate Adjustment]]=0,0,R156*'Facility Info Input'!$F$10),0)</f>
        <v>0</v>
      </c>
      <c r="T156" s="32">
        <f t="shared" si="8"/>
        <v>0</v>
      </c>
      <c r="U156" s="32">
        <f t="shared" si="9"/>
        <v>0</v>
      </c>
      <c r="V156" s="32">
        <f t="shared" si="10"/>
        <v>0</v>
      </c>
      <c r="W156" s="32">
        <f t="shared" si="11"/>
        <v>0</v>
      </c>
    </row>
    <row r="157" spans="1:23">
      <c r="A157" s="77"/>
      <c r="B157" s="76"/>
      <c r="C157" s="77"/>
      <c r="D157" s="81"/>
      <c r="E157" s="82"/>
      <c r="F157" s="82"/>
      <c r="G157" s="83"/>
      <c r="H157" s="84"/>
      <c r="I157" s="85"/>
      <c r="J157" s="85"/>
      <c r="K157" s="85"/>
      <c r="L157" s="85"/>
      <c r="M157" s="93" t="e">
        <f>#REF!&amp;" "&amp;ContractorPayroll[[#This Row],[Employee ID Number / Code]]</f>
        <v>#REF!</v>
      </c>
      <c r="N157" s="71" t="str">
        <f>_xlfn.IFNA(IF(C157="","",VLOOKUP(ContractorPayroll[[#This Row],[Position / Title]],Lists!I:K,3,FALSE)),"")</f>
        <v/>
      </c>
      <c r="O157" s="42" t="str">
        <f>IF(ContractorPayroll[[#This Row],[Position / Title]]="","",VLOOKUP(ContractorPayroll[[#This Row],[Position / Title]],Lists!I:K,2,FALSE))</f>
        <v/>
      </c>
      <c r="P157" s="22" t="str">
        <f>IF(D157="","",ContractorPayroll[[#This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7" s="31">
        <f>IFERROR(IF(ContractorPayroll[[#This Row],[Annual Cost of Wage Increase included in Rate Adjustment]]=0,0,R157*'Facility Info Input'!$F$10),0)</f>
        <v>0</v>
      </c>
      <c r="T157" s="32">
        <f t="shared" si="8"/>
        <v>0</v>
      </c>
      <c r="U157" s="32">
        <f t="shared" si="9"/>
        <v>0</v>
      </c>
      <c r="V157" s="32">
        <f t="shared" si="10"/>
        <v>0</v>
      </c>
      <c r="W157" s="32">
        <f t="shared" si="11"/>
        <v>0</v>
      </c>
    </row>
    <row r="158" spans="1:23">
      <c r="A158" s="77"/>
      <c r="B158" s="76"/>
      <c r="C158" s="77"/>
      <c r="D158" s="81"/>
      <c r="E158" s="82"/>
      <c r="F158" s="82"/>
      <c r="G158" s="83"/>
      <c r="H158" s="84"/>
      <c r="I158" s="85"/>
      <c r="J158" s="85"/>
      <c r="K158" s="85"/>
      <c r="L158" s="85"/>
      <c r="M158" s="93" t="e">
        <f>#REF!&amp;" "&amp;ContractorPayroll[[#This Row],[Employee ID Number / Code]]</f>
        <v>#REF!</v>
      </c>
      <c r="N158" s="71" t="str">
        <f>_xlfn.IFNA(IF(C158="","",VLOOKUP(ContractorPayroll[[#This Row],[Position / Title]],Lists!I:K,3,FALSE)),"")</f>
        <v/>
      </c>
      <c r="O158" s="42" t="str">
        <f>IF(ContractorPayroll[[#This Row],[Position / Title]]="","",VLOOKUP(ContractorPayroll[[#This Row],[Position / Title]],Lists!I:K,2,FALSE))</f>
        <v/>
      </c>
      <c r="P158" s="22" t="str">
        <f>IF(D158="","",ContractorPayroll[[#This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8" s="31">
        <f>IFERROR(IF(ContractorPayroll[[#This Row],[Annual Cost of Wage Increase included in Rate Adjustment]]=0,0,R158*'Facility Info Input'!$F$10),0)</f>
        <v>0</v>
      </c>
      <c r="T158" s="32">
        <f t="shared" si="8"/>
        <v>0</v>
      </c>
      <c r="U158" s="32">
        <f t="shared" si="9"/>
        <v>0</v>
      </c>
      <c r="V158" s="32">
        <f t="shared" si="10"/>
        <v>0</v>
      </c>
      <c r="W158" s="32">
        <f t="shared" si="11"/>
        <v>0</v>
      </c>
    </row>
    <row r="159" spans="1:23">
      <c r="A159" s="77"/>
      <c r="B159" s="76"/>
      <c r="C159" s="77"/>
      <c r="D159" s="81"/>
      <c r="E159" s="82"/>
      <c r="F159" s="82"/>
      <c r="G159" s="83"/>
      <c r="H159" s="84"/>
      <c r="I159" s="85"/>
      <c r="J159" s="85"/>
      <c r="K159" s="85"/>
      <c r="L159" s="85"/>
      <c r="M159" s="93" t="e">
        <f>#REF!&amp;" "&amp;ContractorPayroll[[#This Row],[Employee ID Number / Code]]</f>
        <v>#REF!</v>
      </c>
      <c r="N159" s="71" t="str">
        <f>_xlfn.IFNA(IF(C159="","",VLOOKUP(ContractorPayroll[[#This Row],[Position / Title]],Lists!I:K,3,FALSE)),"")</f>
        <v/>
      </c>
      <c r="O159" s="42" t="str">
        <f>IF(ContractorPayroll[[#This Row],[Position / Title]]="","",VLOOKUP(ContractorPayroll[[#This Row],[Position / Title]],Lists!I:K,2,FALSE))</f>
        <v/>
      </c>
      <c r="P159" s="22" t="str">
        <f>IF(D159="","",ContractorPayroll[[#This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5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5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59" s="31">
        <f>IFERROR(IF(ContractorPayroll[[#This Row],[Annual Cost of Wage Increase included in Rate Adjustment]]=0,0,R159*'Facility Info Input'!$F$10),0)</f>
        <v>0</v>
      </c>
      <c r="T159" s="32">
        <f t="shared" si="8"/>
        <v>0</v>
      </c>
      <c r="U159" s="32">
        <f t="shared" si="9"/>
        <v>0</v>
      </c>
      <c r="V159" s="32">
        <f t="shared" si="10"/>
        <v>0</v>
      </c>
      <c r="W159" s="32">
        <f t="shared" si="11"/>
        <v>0</v>
      </c>
    </row>
    <row r="160" spans="1:23">
      <c r="A160" s="77"/>
      <c r="B160" s="76"/>
      <c r="C160" s="77"/>
      <c r="D160" s="81"/>
      <c r="E160" s="82"/>
      <c r="F160" s="82"/>
      <c r="G160" s="83"/>
      <c r="H160" s="84"/>
      <c r="I160" s="85"/>
      <c r="J160" s="85"/>
      <c r="K160" s="85"/>
      <c r="L160" s="85"/>
      <c r="M160" s="93" t="e">
        <f>#REF!&amp;" "&amp;ContractorPayroll[[#This Row],[Employee ID Number / Code]]</f>
        <v>#REF!</v>
      </c>
      <c r="N160" s="71" t="str">
        <f>_xlfn.IFNA(IF(C160="","",VLOOKUP(ContractorPayroll[[#This Row],[Position / Title]],Lists!I:K,3,FALSE)),"")</f>
        <v/>
      </c>
      <c r="O160" s="42" t="str">
        <f>IF(ContractorPayroll[[#This Row],[Position / Title]]="","",VLOOKUP(ContractorPayroll[[#This Row],[Position / Title]],Lists!I:K,2,FALSE))</f>
        <v/>
      </c>
      <c r="P160" s="22" t="str">
        <f>IF(D160="","",ContractorPayroll[[#This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0" s="31">
        <f>IFERROR(IF(ContractorPayroll[[#This Row],[Annual Cost of Wage Increase included in Rate Adjustment]]=0,0,R160*'Facility Info Input'!$F$10),0)</f>
        <v>0</v>
      </c>
      <c r="T160" s="32">
        <f t="shared" si="8"/>
        <v>0</v>
      </c>
      <c r="U160" s="32">
        <f t="shared" si="9"/>
        <v>0</v>
      </c>
      <c r="V160" s="32">
        <f t="shared" si="10"/>
        <v>0</v>
      </c>
      <c r="W160" s="32">
        <f t="shared" si="11"/>
        <v>0</v>
      </c>
    </row>
    <row r="161" spans="1:23">
      <c r="A161" s="77"/>
      <c r="B161" s="76"/>
      <c r="C161" s="77"/>
      <c r="D161" s="81"/>
      <c r="E161" s="82"/>
      <c r="F161" s="82"/>
      <c r="G161" s="83"/>
      <c r="H161" s="84"/>
      <c r="I161" s="85"/>
      <c r="J161" s="85"/>
      <c r="K161" s="85"/>
      <c r="L161" s="85"/>
      <c r="M161" s="93" t="e">
        <f>#REF!&amp;" "&amp;ContractorPayroll[[#This Row],[Employee ID Number / Code]]</f>
        <v>#REF!</v>
      </c>
      <c r="N161" s="71" t="str">
        <f>_xlfn.IFNA(IF(C161="","",VLOOKUP(ContractorPayroll[[#This Row],[Position / Title]],Lists!I:K,3,FALSE)),"")</f>
        <v/>
      </c>
      <c r="O161" s="42" t="str">
        <f>IF(ContractorPayroll[[#This Row],[Position / Title]]="","",VLOOKUP(ContractorPayroll[[#This Row],[Position / Title]],Lists!I:K,2,FALSE))</f>
        <v/>
      </c>
      <c r="P161" s="22" t="str">
        <f>IF(D161="","",ContractorPayroll[[#This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1" s="31">
        <f>IFERROR(IF(ContractorPayroll[[#This Row],[Annual Cost of Wage Increase included in Rate Adjustment]]=0,0,R161*'Facility Info Input'!$F$10),0)</f>
        <v>0</v>
      </c>
      <c r="T161" s="32">
        <f t="shared" si="8"/>
        <v>0</v>
      </c>
      <c r="U161" s="32">
        <f t="shared" si="9"/>
        <v>0</v>
      </c>
      <c r="V161" s="32">
        <f t="shared" si="10"/>
        <v>0</v>
      </c>
      <c r="W161" s="32">
        <f t="shared" si="11"/>
        <v>0</v>
      </c>
    </row>
    <row r="162" spans="1:23">
      <c r="A162" s="77"/>
      <c r="B162" s="76"/>
      <c r="C162" s="77"/>
      <c r="D162" s="81"/>
      <c r="E162" s="82"/>
      <c r="F162" s="82"/>
      <c r="G162" s="83"/>
      <c r="H162" s="84"/>
      <c r="I162" s="85"/>
      <c r="J162" s="85"/>
      <c r="K162" s="85"/>
      <c r="L162" s="85"/>
      <c r="M162" s="93" t="e">
        <f>#REF!&amp;" "&amp;ContractorPayroll[[#This Row],[Employee ID Number / Code]]</f>
        <v>#REF!</v>
      </c>
      <c r="N162" s="71" t="str">
        <f>_xlfn.IFNA(IF(C162="","",VLOOKUP(ContractorPayroll[[#This Row],[Position / Title]],Lists!I:K,3,FALSE)),"")</f>
        <v/>
      </c>
      <c r="O162" s="42" t="str">
        <f>IF(ContractorPayroll[[#This Row],[Position / Title]]="","",VLOOKUP(ContractorPayroll[[#This Row],[Position / Title]],Lists!I:K,2,FALSE))</f>
        <v/>
      </c>
      <c r="P162" s="22" t="str">
        <f>IF(D162="","",ContractorPayroll[[#This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2" s="31">
        <f>IFERROR(IF(ContractorPayroll[[#This Row],[Annual Cost of Wage Increase included in Rate Adjustment]]=0,0,R162*'Facility Info Input'!$F$10),0)</f>
        <v>0</v>
      </c>
      <c r="T162" s="32">
        <f t="shared" si="8"/>
        <v>0</v>
      </c>
      <c r="U162" s="32">
        <f t="shared" si="9"/>
        <v>0</v>
      </c>
      <c r="V162" s="32">
        <f t="shared" si="10"/>
        <v>0</v>
      </c>
      <c r="W162" s="32">
        <f t="shared" si="11"/>
        <v>0</v>
      </c>
    </row>
    <row r="163" spans="1:23">
      <c r="A163" s="77"/>
      <c r="B163" s="76"/>
      <c r="C163" s="77"/>
      <c r="D163" s="81"/>
      <c r="E163" s="82"/>
      <c r="F163" s="82"/>
      <c r="G163" s="83"/>
      <c r="H163" s="84"/>
      <c r="I163" s="85"/>
      <c r="J163" s="85"/>
      <c r="K163" s="85"/>
      <c r="L163" s="85"/>
      <c r="M163" s="93" t="e">
        <f>#REF!&amp;" "&amp;ContractorPayroll[[#This Row],[Employee ID Number / Code]]</f>
        <v>#REF!</v>
      </c>
      <c r="N163" s="71" t="str">
        <f>_xlfn.IFNA(IF(C163="","",VLOOKUP(ContractorPayroll[[#This Row],[Position / Title]],Lists!I:K,3,FALSE)),"")</f>
        <v/>
      </c>
      <c r="O163" s="42" t="str">
        <f>IF(ContractorPayroll[[#This Row],[Position / Title]]="","",VLOOKUP(ContractorPayroll[[#This Row],[Position / Title]],Lists!I:K,2,FALSE))</f>
        <v/>
      </c>
      <c r="P163" s="22" t="str">
        <f>IF(D163="","",ContractorPayroll[[#This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3" s="31">
        <f>IFERROR(IF(ContractorPayroll[[#This Row],[Annual Cost of Wage Increase included in Rate Adjustment]]=0,0,R163*'Facility Info Input'!$F$10),0)</f>
        <v>0</v>
      </c>
      <c r="T163" s="32">
        <f t="shared" si="8"/>
        <v>0</v>
      </c>
      <c r="U163" s="32">
        <f t="shared" si="9"/>
        <v>0</v>
      </c>
      <c r="V163" s="32">
        <f t="shared" si="10"/>
        <v>0</v>
      </c>
      <c r="W163" s="32">
        <f t="shared" si="11"/>
        <v>0</v>
      </c>
    </row>
    <row r="164" spans="1:23">
      <c r="A164" s="77"/>
      <c r="B164" s="76"/>
      <c r="C164" s="77"/>
      <c r="D164" s="81"/>
      <c r="E164" s="82"/>
      <c r="F164" s="82"/>
      <c r="G164" s="83"/>
      <c r="H164" s="84"/>
      <c r="I164" s="85"/>
      <c r="J164" s="85"/>
      <c r="K164" s="85"/>
      <c r="L164" s="85"/>
      <c r="M164" s="93" t="e">
        <f>#REF!&amp;" "&amp;ContractorPayroll[[#This Row],[Employee ID Number / Code]]</f>
        <v>#REF!</v>
      </c>
      <c r="N164" s="71" t="str">
        <f>_xlfn.IFNA(IF(C164="","",VLOOKUP(ContractorPayroll[[#This Row],[Position / Title]],Lists!I:K,3,FALSE)),"")</f>
        <v/>
      </c>
      <c r="O164" s="42" t="str">
        <f>IF(ContractorPayroll[[#This Row],[Position / Title]]="","",VLOOKUP(ContractorPayroll[[#This Row],[Position / Title]],Lists!I:K,2,FALSE))</f>
        <v/>
      </c>
      <c r="P164" s="22" t="str">
        <f>IF(D164="","",ContractorPayroll[[#This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4" s="31">
        <f>IFERROR(IF(ContractorPayroll[[#This Row],[Annual Cost of Wage Increase included in Rate Adjustment]]=0,0,R164*'Facility Info Input'!$F$10),0)</f>
        <v>0</v>
      </c>
      <c r="T164" s="32">
        <f t="shared" si="8"/>
        <v>0</v>
      </c>
      <c r="U164" s="32">
        <f t="shared" si="9"/>
        <v>0</v>
      </c>
      <c r="V164" s="32">
        <f t="shared" si="10"/>
        <v>0</v>
      </c>
      <c r="W164" s="32">
        <f t="shared" si="11"/>
        <v>0</v>
      </c>
    </row>
    <row r="165" spans="1:23">
      <c r="A165" s="77"/>
      <c r="B165" s="76"/>
      <c r="C165" s="77"/>
      <c r="D165" s="81"/>
      <c r="E165" s="82"/>
      <c r="F165" s="82"/>
      <c r="G165" s="83"/>
      <c r="H165" s="84"/>
      <c r="I165" s="85"/>
      <c r="J165" s="85"/>
      <c r="K165" s="85"/>
      <c r="L165" s="85"/>
      <c r="M165" s="93" t="e">
        <f>#REF!&amp;" "&amp;ContractorPayroll[[#This Row],[Employee ID Number / Code]]</f>
        <v>#REF!</v>
      </c>
      <c r="N165" s="71" t="str">
        <f>_xlfn.IFNA(IF(C165="","",VLOOKUP(ContractorPayroll[[#This Row],[Position / Title]],Lists!I:K,3,FALSE)),"")</f>
        <v/>
      </c>
      <c r="O165" s="42" t="str">
        <f>IF(ContractorPayroll[[#This Row],[Position / Title]]="","",VLOOKUP(ContractorPayroll[[#This Row],[Position / Title]],Lists!I:K,2,FALSE))</f>
        <v/>
      </c>
      <c r="P165" s="22" t="str">
        <f>IF(D165="","",ContractorPayroll[[#This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5" s="31">
        <f>IFERROR(IF(ContractorPayroll[[#This Row],[Annual Cost of Wage Increase included in Rate Adjustment]]=0,0,R165*'Facility Info Input'!$F$10),0)</f>
        <v>0</v>
      </c>
      <c r="T165" s="32">
        <f t="shared" si="8"/>
        <v>0</v>
      </c>
      <c r="U165" s="32">
        <f t="shared" si="9"/>
        <v>0</v>
      </c>
      <c r="V165" s="32">
        <f t="shared" si="10"/>
        <v>0</v>
      </c>
      <c r="W165" s="32">
        <f t="shared" si="11"/>
        <v>0</v>
      </c>
    </row>
    <row r="166" spans="1:23">
      <c r="A166" s="77"/>
      <c r="B166" s="76"/>
      <c r="C166" s="77"/>
      <c r="D166" s="81"/>
      <c r="E166" s="82"/>
      <c r="F166" s="82"/>
      <c r="G166" s="83"/>
      <c r="H166" s="84"/>
      <c r="I166" s="85"/>
      <c r="J166" s="85"/>
      <c r="K166" s="85"/>
      <c r="L166" s="85"/>
      <c r="M166" s="93" t="e">
        <f>#REF!&amp;" "&amp;ContractorPayroll[[#This Row],[Employee ID Number / Code]]</f>
        <v>#REF!</v>
      </c>
      <c r="N166" s="71" t="str">
        <f>_xlfn.IFNA(IF(C166="","",VLOOKUP(ContractorPayroll[[#This Row],[Position / Title]],Lists!I:K,3,FALSE)),"")</f>
        <v/>
      </c>
      <c r="O166" s="42" t="str">
        <f>IF(ContractorPayroll[[#This Row],[Position / Title]]="","",VLOOKUP(ContractorPayroll[[#This Row],[Position / Title]],Lists!I:K,2,FALSE))</f>
        <v/>
      </c>
      <c r="P166" s="22" t="str">
        <f>IF(D166="","",ContractorPayroll[[#This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6" s="31">
        <f>IFERROR(IF(ContractorPayroll[[#This Row],[Annual Cost of Wage Increase included in Rate Adjustment]]=0,0,R166*'Facility Info Input'!$F$10),0)</f>
        <v>0</v>
      </c>
      <c r="T166" s="32">
        <f t="shared" si="8"/>
        <v>0</v>
      </c>
      <c r="U166" s="32">
        <f t="shared" si="9"/>
        <v>0</v>
      </c>
      <c r="V166" s="32">
        <f t="shared" si="10"/>
        <v>0</v>
      </c>
      <c r="W166" s="32">
        <f t="shared" si="11"/>
        <v>0</v>
      </c>
    </row>
    <row r="167" spans="1:23">
      <c r="A167" s="77"/>
      <c r="B167" s="76"/>
      <c r="C167" s="77"/>
      <c r="D167" s="81"/>
      <c r="E167" s="82"/>
      <c r="F167" s="82"/>
      <c r="G167" s="83"/>
      <c r="H167" s="84"/>
      <c r="I167" s="85"/>
      <c r="J167" s="85"/>
      <c r="K167" s="85"/>
      <c r="L167" s="85"/>
      <c r="M167" s="93" t="e">
        <f>#REF!&amp;" "&amp;ContractorPayroll[[#This Row],[Employee ID Number / Code]]</f>
        <v>#REF!</v>
      </c>
      <c r="N167" s="71" t="str">
        <f>_xlfn.IFNA(IF(C167="","",VLOOKUP(ContractorPayroll[[#This Row],[Position / Title]],Lists!I:K,3,FALSE)),"")</f>
        <v/>
      </c>
      <c r="O167" s="42" t="str">
        <f>IF(ContractorPayroll[[#This Row],[Position / Title]]="","",VLOOKUP(ContractorPayroll[[#This Row],[Position / Title]],Lists!I:K,2,FALSE))</f>
        <v/>
      </c>
      <c r="P167" s="22" t="str">
        <f>IF(D167="","",ContractorPayroll[[#This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7" s="31">
        <f>IFERROR(IF(ContractorPayroll[[#This Row],[Annual Cost of Wage Increase included in Rate Adjustment]]=0,0,R167*'Facility Info Input'!$F$10),0)</f>
        <v>0</v>
      </c>
      <c r="T167" s="32">
        <f t="shared" si="8"/>
        <v>0</v>
      </c>
      <c r="U167" s="32">
        <f t="shared" si="9"/>
        <v>0</v>
      </c>
      <c r="V167" s="32">
        <f t="shared" si="10"/>
        <v>0</v>
      </c>
      <c r="W167" s="32">
        <f t="shared" si="11"/>
        <v>0</v>
      </c>
    </row>
    <row r="168" spans="1:23">
      <c r="A168" s="77"/>
      <c r="B168" s="76"/>
      <c r="C168" s="77"/>
      <c r="D168" s="81"/>
      <c r="E168" s="82"/>
      <c r="F168" s="82"/>
      <c r="G168" s="83"/>
      <c r="H168" s="84"/>
      <c r="I168" s="85"/>
      <c r="J168" s="85"/>
      <c r="K168" s="85"/>
      <c r="L168" s="85"/>
      <c r="M168" s="93" t="e">
        <f>#REF!&amp;" "&amp;ContractorPayroll[[#This Row],[Employee ID Number / Code]]</f>
        <v>#REF!</v>
      </c>
      <c r="N168" s="71" t="str">
        <f>_xlfn.IFNA(IF(C168="","",VLOOKUP(ContractorPayroll[[#This Row],[Position / Title]],Lists!I:K,3,FALSE)),"")</f>
        <v/>
      </c>
      <c r="O168" s="42" t="str">
        <f>IF(ContractorPayroll[[#This Row],[Position / Title]]="","",VLOOKUP(ContractorPayroll[[#This Row],[Position / Title]],Lists!I:K,2,FALSE))</f>
        <v/>
      </c>
      <c r="P168" s="22" t="str">
        <f>IF(D168="","",ContractorPayroll[[#This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8" s="31">
        <f>IFERROR(IF(ContractorPayroll[[#This Row],[Annual Cost of Wage Increase included in Rate Adjustment]]=0,0,R168*'Facility Info Input'!$F$10),0)</f>
        <v>0</v>
      </c>
      <c r="T168" s="32">
        <f t="shared" si="8"/>
        <v>0</v>
      </c>
      <c r="U168" s="32">
        <f t="shared" si="9"/>
        <v>0</v>
      </c>
      <c r="V168" s="32">
        <f t="shared" si="10"/>
        <v>0</v>
      </c>
      <c r="W168" s="32">
        <f t="shared" si="11"/>
        <v>0</v>
      </c>
    </row>
    <row r="169" spans="1:23">
      <c r="A169" s="77"/>
      <c r="B169" s="76"/>
      <c r="C169" s="77"/>
      <c r="D169" s="81"/>
      <c r="E169" s="82"/>
      <c r="F169" s="82"/>
      <c r="G169" s="83"/>
      <c r="H169" s="84"/>
      <c r="I169" s="85"/>
      <c r="J169" s="85"/>
      <c r="K169" s="85"/>
      <c r="L169" s="85"/>
      <c r="M169" s="93" t="e">
        <f>#REF!&amp;" "&amp;ContractorPayroll[[#This Row],[Employee ID Number / Code]]</f>
        <v>#REF!</v>
      </c>
      <c r="N169" s="71" t="str">
        <f>_xlfn.IFNA(IF(C169="","",VLOOKUP(ContractorPayroll[[#This Row],[Position / Title]],Lists!I:K,3,FALSE)),"")</f>
        <v/>
      </c>
      <c r="O169" s="42" t="str">
        <f>IF(ContractorPayroll[[#This Row],[Position / Title]]="","",VLOOKUP(ContractorPayroll[[#This Row],[Position / Title]],Lists!I:K,2,FALSE))</f>
        <v/>
      </c>
      <c r="P169" s="22" t="str">
        <f>IF(D169="","",ContractorPayroll[[#This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6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6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69" s="31">
        <f>IFERROR(IF(ContractorPayroll[[#This Row],[Annual Cost of Wage Increase included in Rate Adjustment]]=0,0,R169*'Facility Info Input'!$F$10),0)</f>
        <v>0</v>
      </c>
      <c r="T169" s="32">
        <f t="shared" si="8"/>
        <v>0</v>
      </c>
      <c r="U169" s="32">
        <f t="shared" si="9"/>
        <v>0</v>
      </c>
      <c r="V169" s="32">
        <f t="shared" si="10"/>
        <v>0</v>
      </c>
      <c r="W169" s="32">
        <f t="shared" si="11"/>
        <v>0</v>
      </c>
    </row>
    <row r="170" spans="1:23">
      <c r="A170" s="77"/>
      <c r="B170" s="76"/>
      <c r="C170" s="77"/>
      <c r="D170" s="81"/>
      <c r="E170" s="82"/>
      <c r="F170" s="82"/>
      <c r="G170" s="83"/>
      <c r="H170" s="84"/>
      <c r="I170" s="85"/>
      <c r="J170" s="85"/>
      <c r="K170" s="85"/>
      <c r="L170" s="85"/>
      <c r="M170" s="93" t="e">
        <f>#REF!&amp;" "&amp;ContractorPayroll[[#This Row],[Employee ID Number / Code]]</f>
        <v>#REF!</v>
      </c>
      <c r="N170" s="71" t="str">
        <f>_xlfn.IFNA(IF(C170="","",VLOOKUP(ContractorPayroll[[#This Row],[Position / Title]],Lists!I:K,3,FALSE)),"")</f>
        <v/>
      </c>
      <c r="O170" s="42" t="str">
        <f>IF(ContractorPayroll[[#This Row],[Position / Title]]="","",VLOOKUP(ContractorPayroll[[#This Row],[Position / Title]],Lists!I:K,2,FALSE))</f>
        <v/>
      </c>
      <c r="P170" s="22" t="str">
        <f>IF(D170="","",ContractorPayroll[[#This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0" s="31">
        <f>IFERROR(IF(ContractorPayroll[[#This Row],[Annual Cost of Wage Increase included in Rate Adjustment]]=0,0,R170*'Facility Info Input'!$F$10),0)</f>
        <v>0</v>
      </c>
      <c r="T170" s="32">
        <f t="shared" si="8"/>
        <v>0</v>
      </c>
      <c r="U170" s="32">
        <f t="shared" si="9"/>
        <v>0</v>
      </c>
      <c r="V170" s="32">
        <f t="shared" si="10"/>
        <v>0</v>
      </c>
      <c r="W170" s="32">
        <f t="shared" si="11"/>
        <v>0</v>
      </c>
    </row>
    <row r="171" spans="1:23">
      <c r="A171" s="77"/>
      <c r="B171" s="76"/>
      <c r="C171" s="77"/>
      <c r="D171" s="81"/>
      <c r="E171" s="82"/>
      <c r="F171" s="82"/>
      <c r="G171" s="83"/>
      <c r="H171" s="84"/>
      <c r="I171" s="85"/>
      <c r="J171" s="85"/>
      <c r="K171" s="85"/>
      <c r="L171" s="85"/>
      <c r="M171" s="93" t="e">
        <f>#REF!&amp;" "&amp;ContractorPayroll[[#This Row],[Employee ID Number / Code]]</f>
        <v>#REF!</v>
      </c>
      <c r="N171" s="71" t="str">
        <f>_xlfn.IFNA(IF(C171="","",VLOOKUP(ContractorPayroll[[#This Row],[Position / Title]],Lists!I:K,3,FALSE)),"")</f>
        <v/>
      </c>
      <c r="O171" s="42" t="str">
        <f>IF(ContractorPayroll[[#This Row],[Position / Title]]="","",VLOOKUP(ContractorPayroll[[#This Row],[Position / Title]],Lists!I:K,2,FALSE))</f>
        <v/>
      </c>
      <c r="P171" s="22" t="str">
        <f>IF(D171="","",ContractorPayroll[[#This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1" s="31">
        <f>IFERROR(IF(ContractorPayroll[[#This Row],[Annual Cost of Wage Increase included in Rate Adjustment]]=0,0,R171*'Facility Info Input'!$F$10),0)</f>
        <v>0</v>
      </c>
      <c r="T171" s="32">
        <f t="shared" si="8"/>
        <v>0</v>
      </c>
      <c r="U171" s="32">
        <f t="shared" si="9"/>
        <v>0</v>
      </c>
      <c r="V171" s="32">
        <f t="shared" si="10"/>
        <v>0</v>
      </c>
      <c r="W171" s="32">
        <f t="shared" si="11"/>
        <v>0</v>
      </c>
    </row>
    <row r="172" spans="1:23">
      <c r="A172" s="77"/>
      <c r="B172" s="76"/>
      <c r="C172" s="77"/>
      <c r="D172" s="81"/>
      <c r="E172" s="82"/>
      <c r="F172" s="82"/>
      <c r="G172" s="83"/>
      <c r="H172" s="84"/>
      <c r="I172" s="85"/>
      <c r="J172" s="85"/>
      <c r="K172" s="85"/>
      <c r="L172" s="85"/>
      <c r="M172" s="93" t="e">
        <f>#REF!&amp;" "&amp;ContractorPayroll[[#This Row],[Employee ID Number / Code]]</f>
        <v>#REF!</v>
      </c>
      <c r="N172" s="71" t="str">
        <f>_xlfn.IFNA(IF(C172="","",VLOOKUP(ContractorPayroll[[#This Row],[Position / Title]],Lists!I:K,3,FALSE)),"")</f>
        <v/>
      </c>
      <c r="O172" s="42" t="str">
        <f>IF(ContractorPayroll[[#This Row],[Position / Title]]="","",VLOOKUP(ContractorPayroll[[#This Row],[Position / Title]],Lists!I:K,2,FALSE))</f>
        <v/>
      </c>
      <c r="P172" s="22" t="str">
        <f>IF(D172="","",ContractorPayroll[[#This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2" s="31">
        <f>IFERROR(IF(ContractorPayroll[[#This Row],[Annual Cost of Wage Increase included in Rate Adjustment]]=0,0,R172*'Facility Info Input'!$F$10),0)</f>
        <v>0</v>
      </c>
      <c r="T172" s="32">
        <f t="shared" si="8"/>
        <v>0</v>
      </c>
      <c r="U172" s="32">
        <f t="shared" si="9"/>
        <v>0</v>
      </c>
      <c r="V172" s="32">
        <f t="shared" si="10"/>
        <v>0</v>
      </c>
      <c r="W172" s="32">
        <f t="shared" si="11"/>
        <v>0</v>
      </c>
    </row>
    <row r="173" spans="1:23">
      <c r="A173" s="77"/>
      <c r="B173" s="76"/>
      <c r="C173" s="77"/>
      <c r="D173" s="81"/>
      <c r="E173" s="82"/>
      <c r="F173" s="82"/>
      <c r="G173" s="83"/>
      <c r="H173" s="84"/>
      <c r="I173" s="85"/>
      <c r="J173" s="85"/>
      <c r="K173" s="85"/>
      <c r="L173" s="85"/>
      <c r="M173" s="93" t="e">
        <f>#REF!&amp;" "&amp;ContractorPayroll[[#This Row],[Employee ID Number / Code]]</f>
        <v>#REF!</v>
      </c>
      <c r="N173" s="71" t="str">
        <f>_xlfn.IFNA(IF(C173="","",VLOOKUP(ContractorPayroll[[#This Row],[Position / Title]],Lists!I:K,3,FALSE)),"")</f>
        <v/>
      </c>
      <c r="O173" s="42" t="str">
        <f>IF(ContractorPayroll[[#This Row],[Position / Title]]="","",VLOOKUP(ContractorPayroll[[#This Row],[Position / Title]],Lists!I:K,2,FALSE))</f>
        <v/>
      </c>
      <c r="P173" s="22" t="str">
        <f>IF(D173="","",ContractorPayroll[[#This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3" s="31">
        <f>IFERROR(IF(ContractorPayroll[[#This Row],[Annual Cost of Wage Increase included in Rate Adjustment]]=0,0,R173*'Facility Info Input'!$F$10),0)</f>
        <v>0</v>
      </c>
      <c r="T173" s="32">
        <f t="shared" si="8"/>
        <v>0</v>
      </c>
      <c r="U173" s="32">
        <f t="shared" si="9"/>
        <v>0</v>
      </c>
      <c r="V173" s="32">
        <f t="shared" si="10"/>
        <v>0</v>
      </c>
      <c r="W173" s="32">
        <f t="shared" si="11"/>
        <v>0</v>
      </c>
    </row>
    <row r="174" spans="1:23">
      <c r="A174" s="77"/>
      <c r="B174" s="76"/>
      <c r="C174" s="77"/>
      <c r="D174" s="81"/>
      <c r="E174" s="82"/>
      <c r="F174" s="82"/>
      <c r="G174" s="83"/>
      <c r="H174" s="84"/>
      <c r="I174" s="85"/>
      <c r="J174" s="85"/>
      <c r="K174" s="85"/>
      <c r="L174" s="85"/>
      <c r="M174" s="93" t="e">
        <f>#REF!&amp;" "&amp;ContractorPayroll[[#This Row],[Employee ID Number / Code]]</f>
        <v>#REF!</v>
      </c>
      <c r="N174" s="71" t="str">
        <f>_xlfn.IFNA(IF(C174="","",VLOOKUP(ContractorPayroll[[#This Row],[Position / Title]],Lists!I:K,3,FALSE)),"")</f>
        <v/>
      </c>
      <c r="O174" s="42" t="str">
        <f>IF(ContractorPayroll[[#This Row],[Position / Title]]="","",VLOOKUP(ContractorPayroll[[#This Row],[Position / Title]],Lists!I:K,2,FALSE))</f>
        <v/>
      </c>
      <c r="P174" s="22" t="str">
        <f>IF(D174="","",ContractorPayroll[[#This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4" s="31">
        <f>IFERROR(IF(ContractorPayroll[[#This Row],[Annual Cost of Wage Increase included in Rate Adjustment]]=0,0,R174*'Facility Info Input'!$F$10),0)</f>
        <v>0</v>
      </c>
      <c r="T174" s="32">
        <f t="shared" si="8"/>
        <v>0</v>
      </c>
      <c r="U174" s="32">
        <f t="shared" si="9"/>
        <v>0</v>
      </c>
      <c r="V174" s="32">
        <f t="shared" si="10"/>
        <v>0</v>
      </c>
      <c r="W174" s="32">
        <f t="shared" si="11"/>
        <v>0</v>
      </c>
    </row>
    <row r="175" spans="1:23">
      <c r="A175" s="77"/>
      <c r="B175" s="76"/>
      <c r="C175" s="77"/>
      <c r="D175" s="81"/>
      <c r="E175" s="82"/>
      <c r="F175" s="82"/>
      <c r="G175" s="83"/>
      <c r="H175" s="84"/>
      <c r="I175" s="85"/>
      <c r="J175" s="85"/>
      <c r="K175" s="85"/>
      <c r="L175" s="85"/>
      <c r="M175" s="93" t="e">
        <f>#REF!&amp;" "&amp;ContractorPayroll[[#This Row],[Employee ID Number / Code]]</f>
        <v>#REF!</v>
      </c>
      <c r="N175" s="71" t="str">
        <f>_xlfn.IFNA(IF(C175="","",VLOOKUP(ContractorPayroll[[#This Row],[Position / Title]],Lists!I:K,3,FALSE)),"")</f>
        <v/>
      </c>
      <c r="O175" s="42" t="str">
        <f>IF(ContractorPayroll[[#This Row],[Position / Title]]="","",VLOOKUP(ContractorPayroll[[#This Row],[Position / Title]],Lists!I:K,2,FALSE))</f>
        <v/>
      </c>
      <c r="P175" s="22" t="str">
        <f>IF(D175="","",ContractorPayroll[[#This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5" s="31">
        <f>IFERROR(IF(ContractorPayroll[[#This Row],[Annual Cost of Wage Increase included in Rate Adjustment]]=0,0,R175*'Facility Info Input'!$F$10),0)</f>
        <v>0</v>
      </c>
      <c r="T175" s="32">
        <f t="shared" si="8"/>
        <v>0</v>
      </c>
      <c r="U175" s="32">
        <f t="shared" si="9"/>
        <v>0</v>
      </c>
      <c r="V175" s="32">
        <f t="shared" si="10"/>
        <v>0</v>
      </c>
      <c r="W175" s="32">
        <f t="shared" si="11"/>
        <v>0</v>
      </c>
    </row>
    <row r="176" spans="1:23">
      <c r="A176" s="77"/>
      <c r="B176" s="76"/>
      <c r="C176" s="77"/>
      <c r="D176" s="81"/>
      <c r="E176" s="82"/>
      <c r="F176" s="82"/>
      <c r="G176" s="83"/>
      <c r="H176" s="84"/>
      <c r="I176" s="85"/>
      <c r="J176" s="85"/>
      <c r="K176" s="85"/>
      <c r="L176" s="85"/>
      <c r="M176" s="93" t="e">
        <f>#REF!&amp;" "&amp;ContractorPayroll[[#This Row],[Employee ID Number / Code]]</f>
        <v>#REF!</v>
      </c>
      <c r="N176" s="71" t="str">
        <f>_xlfn.IFNA(IF(C176="","",VLOOKUP(ContractorPayroll[[#This Row],[Position / Title]],Lists!I:K,3,FALSE)),"")</f>
        <v/>
      </c>
      <c r="O176" s="42" t="str">
        <f>IF(ContractorPayroll[[#This Row],[Position / Title]]="","",VLOOKUP(ContractorPayroll[[#This Row],[Position / Title]],Lists!I:K,2,FALSE))</f>
        <v/>
      </c>
      <c r="P176" s="22" t="str">
        <f>IF(D176="","",ContractorPayroll[[#This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6" s="31">
        <f>IFERROR(IF(ContractorPayroll[[#This Row],[Annual Cost of Wage Increase included in Rate Adjustment]]=0,0,R176*'Facility Info Input'!$F$10),0)</f>
        <v>0</v>
      </c>
      <c r="T176" s="32">
        <f t="shared" si="8"/>
        <v>0</v>
      </c>
      <c r="U176" s="32">
        <f t="shared" si="9"/>
        <v>0</v>
      </c>
      <c r="V176" s="32">
        <f t="shared" si="10"/>
        <v>0</v>
      </c>
      <c r="W176" s="32">
        <f t="shared" si="11"/>
        <v>0</v>
      </c>
    </row>
    <row r="177" spans="1:23">
      <c r="A177" s="77"/>
      <c r="B177" s="76"/>
      <c r="C177" s="77"/>
      <c r="D177" s="81"/>
      <c r="E177" s="82"/>
      <c r="F177" s="82"/>
      <c r="G177" s="83"/>
      <c r="H177" s="84"/>
      <c r="I177" s="85"/>
      <c r="J177" s="85"/>
      <c r="K177" s="85"/>
      <c r="L177" s="85"/>
      <c r="M177" s="93" t="e">
        <f>#REF!&amp;" "&amp;ContractorPayroll[[#This Row],[Employee ID Number / Code]]</f>
        <v>#REF!</v>
      </c>
      <c r="N177" s="71" t="str">
        <f>_xlfn.IFNA(IF(C177="","",VLOOKUP(ContractorPayroll[[#This Row],[Position / Title]],Lists!I:K,3,FALSE)),"")</f>
        <v/>
      </c>
      <c r="O177" s="42" t="str">
        <f>IF(ContractorPayroll[[#This Row],[Position / Title]]="","",VLOOKUP(ContractorPayroll[[#This Row],[Position / Title]],Lists!I:K,2,FALSE))</f>
        <v/>
      </c>
      <c r="P177" s="22" t="str">
        <f>IF(D177="","",ContractorPayroll[[#This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7" s="31">
        <f>IFERROR(IF(ContractorPayroll[[#This Row],[Annual Cost of Wage Increase included in Rate Adjustment]]=0,0,R177*'Facility Info Input'!$F$10),0)</f>
        <v>0</v>
      </c>
      <c r="T177" s="32">
        <f t="shared" si="8"/>
        <v>0</v>
      </c>
      <c r="U177" s="32">
        <f t="shared" si="9"/>
        <v>0</v>
      </c>
      <c r="V177" s="32">
        <f t="shared" si="10"/>
        <v>0</v>
      </c>
      <c r="W177" s="32">
        <f t="shared" si="11"/>
        <v>0</v>
      </c>
    </row>
    <row r="178" spans="1:23">
      <c r="A178" s="77"/>
      <c r="B178" s="76"/>
      <c r="C178" s="77"/>
      <c r="D178" s="81"/>
      <c r="E178" s="82"/>
      <c r="F178" s="82"/>
      <c r="G178" s="83"/>
      <c r="H178" s="84"/>
      <c r="I178" s="85"/>
      <c r="J178" s="85"/>
      <c r="K178" s="85"/>
      <c r="L178" s="85"/>
      <c r="M178" s="93" t="e">
        <f>#REF!&amp;" "&amp;ContractorPayroll[[#This Row],[Employee ID Number / Code]]</f>
        <v>#REF!</v>
      </c>
      <c r="N178" s="71" t="str">
        <f>_xlfn.IFNA(IF(C178="","",VLOOKUP(ContractorPayroll[[#This Row],[Position / Title]],Lists!I:K,3,FALSE)),"")</f>
        <v/>
      </c>
      <c r="O178" s="42" t="str">
        <f>IF(ContractorPayroll[[#This Row],[Position / Title]]="","",VLOOKUP(ContractorPayroll[[#This Row],[Position / Title]],Lists!I:K,2,FALSE))</f>
        <v/>
      </c>
      <c r="P178" s="22" t="str">
        <f>IF(D178="","",ContractorPayroll[[#This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8" s="31">
        <f>IFERROR(IF(ContractorPayroll[[#This Row],[Annual Cost of Wage Increase included in Rate Adjustment]]=0,0,R178*'Facility Info Input'!$F$10),0)</f>
        <v>0</v>
      </c>
      <c r="T178" s="32">
        <f t="shared" si="8"/>
        <v>0</v>
      </c>
      <c r="U178" s="32">
        <f t="shared" si="9"/>
        <v>0</v>
      </c>
      <c r="V178" s="32">
        <f t="shared" si="10"/>
        <v>0</v>
      </c>
      <c r="W178" s="32">
        <f t="shared" si="11"/>
        <v>0</v>
      </c>
    </row>
    <row r="179" spans="1:23">
      <c r="A179" s="77"/>
      <c r="B179" s="76"/>
      <c r="C179" s="77"/>
      <c r="D179" s="81"/>
      <c r="E179" s="82"/>
      <c r="F179" s="82"/>
      <c r="G179" s="83"/>
      <c r="H179" s="84"/>
      <c r="I179" s="85"/>
      <c r="J179" s="85"/>
      <c r="K179" s="85"/>
      <c r="L179" s="85"/>
      <c r="M179" s="93" t="e">
        <f>#REF!&amp;" "&amp;ContractorPayroll[[#This Row],[Employee ID Number / Code]]</f>
        <v>#REF!</v>
      </c>
      <c r="N179" s="71" t="str">
        <f>_xlfn.IFNA(IF(C179="","",VLOOKUP(ContractorPayroll[[#This Row],[Position / Title]],Lists!I:K,3,FALSE)),"")</f>
        <v/>
      </c>
      <c r="O179" s="42" t="str">
        <f>IF(ContractorPayroll[[#This Row],[Position / Title]]="","",VLOOKUP(ContractorPayroll[[#This Row],[Position / Title]],Lists!I:K,2,FALSE))</f>
        <v/>
      </c>
      <c r="P179" s="22" t="str">
        <f>IF(D179="","",ContractorPayroll[[#This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7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7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79" s="31">
        <f>IFERROR(IF(ContractorPayroll[[#This Row],[Annual Cost of Wage Increase included in Rate Adjustment]]=0,0,R179*'Facility Info Input'!$F$10),0)</f>
        <v>0</v>
      </c>
      <c r="T179" s="32">
        <f t="shared" si="8"/>
        <v>0</v>
      </c>
      <c r="U179" s="32">
        <f t="shared" si="9"/>
        <v>0</v>
      </c>
      <c r="V179" s="32">
        <f t="shared" si="10"/>
        <v>0</v>
      </c>
      <c r="W179" s="32">
        <f t="shared" si="11"/>
        <v>0</v>
      </c>
    </row>
    <row r="180" spans="1:23">
      <c r="A180" s="77"/>
      <c r="B180" s="76"/>
      <c r="C180" s="77"/>
      <c r="D180" s="81"/>
      <c r="E180" s="82"/>
      <c r="F180" s="82"/>
      <c r="G180" s="83"/>
      <c r="H180" s="84"/>
      <c r="I180" s="85"/>
      <c r="J180" s="85"/>
      <c r="K180" s="85"/>
      <c r="L180" s="85"/>
      <c r="M180" s="93" t="e">
        <f>#REF!&amp;" "&amp;ContractorPayroll[[#This Row],[Employee ID Number / Code]]</f>
        <v>#REF!</v>
      </c>
      <c r="N180" s="71" t="str">
        <f>_xlfn.IFNA(IF(C180="","",VLOOKUP(ContractorPayroll[[#This Row],[Position / Title]],Lists!I:K,3,FALSE)),"")</f>
        <v/>
      </c>
      <c r="O180" s="42" t="str">
        <f>IF(ContractorPayroll[[#This Row],[Position / Title]]="","",VLOOKUP(ContractorPayroll[[#This Row],[Position / Title]],Lists!I:K,2,FALSE))</f>
        <v/>
      </c>
      <c r="P180" s="22" t="str">
        <f>IF(D180="","",ContractorPayroll[[#This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0" s="31">
        <f>IFERROR(IF(ContractorPayroll[[#This Row],[Annual Cost of Wage Increase included in Rate Adjustment]]=0,0,R180*'Facility Info Input'!$F$10),0)</f>
        <v>0</v>
      </c>
      <c r="T180" s="32">
        <f t="shared" si="8"/>
        <v>0</v>
      </c>
      <c r="U180" s="32">
        <f t="shared" si="9"/>
        <v>0</v>
      </c>
      <c r="V180" s="32">
        <f t="shared" si="10"/>
        <v>0</v>
      </c>
      <c r="W180" s="32">
        <f t="shared" si="11"/>
        <v>0</v>
      </c>
    </row>
    <row r="181" spans="1:23">
      <c r="A181" s="77"/>
      <c r="B181" s="76"/>
      <c r="C181" s="77"/>
      <c r="D181" s="81"/>
      <c r="E181" s="82"/>
      <c r="F181" s="82"/>
      <c r="G181" s="83"/>
      <c r="H181" s="84"/>
      <c r="I181" s="85"/>
      <c r="J181" s="85"/>
      <c r="K181" s="85"/>
      <c r="L181" s="85"/>
      <c r="M181" s="93" t="e">
        <f>#REF!&amp;" "&amp;ContractorPayroll[[#This Row],[Employee ID Number / Code]]</f>
        <v>#REF!</v>
      </c>
      <c r="N181" s="71" t="str">
        <f>_xlfn.IFNA(IF(C181="","",VLOOKUP(ContractorPayroll[[#This Row],[Position / Title]],Lists!I:K,3,FALSE)),"")</f>
        <v/>
      </c>
      <c r="O181" s="42" t="str">
        <f>IF(ContractorPayroll[[#This Row],[Position / Title]]="","",VLOOKUP(ContractorPayroll[[#This Row],[Position / Title]],Lists!I:K,2,FALSE))</f>
        <v/>
      </c>
      <c r="P181" s="22" t="str">
        <f>IF(D181="","",ContractorPayroll[[#This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1" s="31">
        <f>IFERROR(IF(ContractorPayroll[[#This Row],[Annual Cost of Wage Increase included in Rate Adjustment]]=0,0,R181*'Facility Info Input'!$F$10),0)</f>
        <v>0</v>
      </c>
      <c r="T181" s="32">
        <f t="shared" si="8"/>
        <v>0</v>
      </c>
      <c r="U181" s="32">
        <f t="shared" si="9"/>
        <v>0</v>
      </c>
      <c r="V181" s="32">
        <f t="shared" si="10"/>
        <v>0</v>
      </c>
      <c r="W181" s="32">
        <f t="shared" si="11"/>
        <v>0</v>
      </c>
    </row>
    <row r="182" spans="1:23">
      <c r="A182" s="77"/>
      <c r="B182" s="76"/>
      <c r="C182" s="77"/>
      <c r="D182" s="81"/>
      <c r="E182" s="82"/>
      <c r="F182" s="82"/>
      <c r="G182" s="83"/>
      <c r="H182" s="84"/>
      <c r="I182" s="85"/>
      <c r="J182" s="85"/>
      <c r="K182" s="85"/>
      <c r="L182" s="85"/>
      <c r="M182" s="93" t="e">
        <f>#REF!&amp;" "&amp;ContractorPayroll[[#This Row],[Employee ID Number / Code]]</f>
        <v>#REF!</v>
      </c>
      <c r="N182" s="71" t="str">
        <f>_xlfn.IFNA(IF(C182="","",VLOOKUP(ContractorPayroll[[#This Row],[Position / Title]],Lists!I:K,3,FALSE)),"")</f>
        <v/>
      </c>
      <c r="O182" s="42" t="str">
        <f>IF(ContractorPayroll[[#This Row],[Position / Title]]="","",VLOOKUP(ContractorPayroll[[#This Row],[Position / Title]],Lists!I:K,2,FALSE))</f>
        <v/>
      </c>
      <c r="P182" s="22" t="str">
        <f>IF(D182="","",ContractorPayroll[[#This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2" s="31">
        <f>IFERROR(IF(ContractorPayroll[[#This Row],[Annual Cost of Wage Increase included in Rate Adjustment]]=0,0,R182*'Facility Info Input'!$F$10),0)</f>
        <v>0</v>
      </c>
      <c r="T182" s="32">
        <f t="shared" si="8"/>
        <v>0</v>
      </c>
      <c r="U182" s="32">
        <f t="shared" si="9"/>
        <v>0</v>
      </c>
      <c r="V182" s="32">
        <f t="shared" si="10"/>
        <v>0</v>
      </c>
      <c r="W182" s="32">
        <f t="shared" si="11"/>
        <v>0</v>
      </c>
    </row>
    <row r="183" spans="1:23">
      <c r="A183" s="77"/>
      <c r="B183" s="76"/>
      <c r="C183" s="77"/>
      <c r="D183" s="81"/>
      <c r="E183" s="82"/>
      <c r="F183" s="82"/>
      <c r="G183" s="83"/>
      <c r="H183" s="84"/>
      <c r="I183" s="85"/>
      <c r="J183" s="85"/>
      <c r="K183" s="85"/>
      <c r="L183" s="85"/>
      <c r="M183" s="93" t="e">
        <f>#REF!&amp;" "&amp;ContractorPayroll[[#This Row],[Employee ID Number / Code]]</f>
        <v>#REF!</v>
      </c>
      <c r="N183" s="71" t="str">
        <f>_xlfn.IFNA(IF(C183="","",VLOOKUP(ContractorPayroll[[#This Row],[Position / Title]],Lists!I:K,3,FALSE)),"")</f>
        <v/>
      </c>
      <c r="O183" s="42" t="str">
        <f>IF(ContractorPayroll[[#This Row],[Position / Title]]="","",VLOOKUP(ContractorPayroll[[#This Row],[Position / Title]],Lists!I:K,2,FALSE))</f>
        <v/>
      </c>
      <c r="P183" s="22" t="str">
        <f>IF(D183="","",ContractorPayroll[[#This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3" s="31">
        <f>IFERROR(IF(ContractorPayroll[[#This Row],[Annual Cost of Wage Increase included in Rate Adjustment]]=0,0,R183*'Facility Info Input'!$F$10),0)</f>
        <v>0</v>
      </c>
      <c r="T183" s="32">
        <f t="shared" si="8"/>
        <v>0</v>
      </c>
      <c r="U183" s="32">
        <f t="shared" si="9"/>
        <v>0</v>
      </c>
      <c r="V183" s="32">
        <f t="shared" si="10"/>
        <v>0</v>
      </c>
      <c r="W183" s="32">
        <f t="shared" si="11"/>
        <v>0</v>
      </c>
    </row>
    <row r="184" spans="1:23">
      <c r="A184" s="77"/>
      <c r="B184" s="76"/>
      <c r="C184" s="77"/>
      <c r="D184" s="81"/>
      <c r="E184" s="82"/>
      <c r="F184" s="82"/>
      <c r="G184" s="83"/>
      <c r="H184" s="84"/>
      <c r="I184" s="85"/>
      <c r="J184" s="85"/>
      <c r="K184" s="85"/>
      <c r="L184" s="85"/>
      <c r="M184" s="93" t="e">
        <f>#REF!&amp;" "&amp;ContractorPayroll[[#This Row],[Employee ID Number / Code]]</f>
        <v>#REF!</v>
      </c>
      <c r="N184" s="71" t="str">
        <f>_xlfn.IFNA(IF(C184="","",VLOOKUP(ContractorPayroll[[#This Row],[Position / Title]],Lists!I:K,3,FALSE)),"")</f>
        <v/>
      </c>
      <c r="O184" s="42" t="str">
        <f>IF(ContractorPayroll[[#This Row],[Position / Title]]="","",VLOOKUP(ContractorPayroll[[#This Row],[Position / Title]],Lists!I:K,2,FALSE))</f>
        <v/>
      </c>
      <c r="P184" s="22" t="str">
        <f>IF(D184="","",ContractorPayroll[[#This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4" s="31">
        <f>IFERROR(IF(ContractorPayroll[[#This Row],[Annual Cost of Wage Increase included in Rate Adjustment]]=0,0,R184*'Facility Info Input'!$F$10),0)</f>
        <v>0</v>
      </c>
      <c r="T184" s="32">
        <f t="shared" si="8"/>
        <v>0</v>
      </c>
      <c r="U184" s="32">
        <f t="shared" si="9"/>
        <v>0</v>
      </c>
      <c r="V184" s="32">
        <f t="shared" si="10"/>
        <v>0</v>
      </c>
      <c r="W184" s="32">
        <f t="shared" si="11"/>
        <v>0</v>
      </c>
    </row>
    <row r="185" spans="1:23">
      <c r="A185" s="77"/>
      <c r="B185" s="76"/>
      <c r="C185" s="77"/>
      <c r="D185" s="81"/>
      <c r="E185" s="82"/>
      <c r="F185" s="82"/>
      <c r="G185" s="83"/>
      <c r="H185" s="84"/>
      <c r="I185" s="85"/>
      <c r="J185" s="85"/>
      <c r="K185" s="85"/>
      <c r="L185" s="85"/>
      <c r="M185" s="93" t="e">
        <f>#REF!&amp;" "&amp;ContractorPayroll[[#This Row],[Employee ID Number / Code]]</f>
        <v>#REF!</v>
      </c>
      <c r="N185" s="71" t="str">
        <f>_xlfn.IFNA(IF(C185="","",VLOOKUP(ContractorPayroll[[#This Row],[Position / Title]],Lists!I:K,3,FALSE)),"")</f>
        <v/>
      </c>
      <c r="O185" s="42" t="str">
        <f>IF(ContractorPayroll[[#This Row],[Position / Title]]="","",VLOOKUP(ContractorPayroll[[#This Row],[Position / Title]],Lists!I:K,2,FALSE))</f>
        <v/>
      </c>
      <c r="P185" s="22" t="str">
        <f>IF(D185="","",ContractorPayroll[[#This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5" s="31">
        <f>IFERROR(IF(ContractorPayroll[[#This Row],[Annual Cost of Wage Increase included in Rate Adjustment]]=0,0,R185*'Facility Info Input'!$F$10),0)</f>
        <v>0</v>
      </c>
      <c r="T185" s="32">
        <f t="shared" si="8"/>
        <v>0</v>
      </c>
      <c r="U185" s="32">
        <f t="shared" si="9"/>
        <v>0</v>
      </c>
      <c r="V185" s="32">
        <f t="shared" si="10"/>
        <v>0</v>
      </c>
      <c r="W185" s="32">
        <f t="shared" si="11"/>
        <v>0</v>
      </c>
    </row>
    <row r="186" spans="1:23">
      <c r="A186" s="77"/>
      <c r="B186" s="76"/>
      <c r="C186" s="77"/>
      <c r="D186" s="81"/>
      <c r="E186" s="82"/>
      <c r="F186" s="82"/>
      <c r="G186" s="83"/>
      <c r="H186" s="84"/>
      <c r="I186" s="85"/>
      <c r="J186" s="85"/>
      <c r="K186" s="85"/>
      <c r="L186" s="85"/>
      <c r="M186" s="93" t="e">
        <f>#REF!&amp;" "&amp;ContractorPayroll[[#This Row],[Employee ID Number / Code]]</f>
        <v>#REF!</v>
      </c>
      <c r="N186" s="71" t="str">
        <f>_xlfn.IFNA(IF(C186="","",VLOOKUP(ContractorPayroll[[#This Row],[Position / Title]],Lists!I:K,3,FALSE)),"")</f>
        <v/>
      </c>
      <c r="O186" s="42" t="str">
        <f>IF(ContractorPayroll[[#This Row],[Position / Title]]="","",VLOOKUP(ContractorPayroll[[#This Row],[Position / Title]],Lists!I:K,2,FALSE))</f>
        <v/>
      </c>
      <c r="P186" s="22" t="str">
        <f>IF(D186="","",ContractorPayroll[[#This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6" s="31">
        <f>IFERROR(IF(ContractorPayroll[[#This Row],[Annual Cost of Wage Increase included in Rate Adjustment]]=0,0,R186*'Facility Info Input'!$F$10),0)</f>
        <v>0</v>
      </c>
      <c r="T186" s="32">
        <f t="shared" si="8"/>
        <v>0</v>
      </c>
      <c r="U186" s="32">
        <f t="shared" si="9"/>
        <v>0</v>
      </c>
      <c r="V186" s="32">
        <f t="shared" si="10"/>
        <v>0</v>
      </c>
      <c r="W186" s="32">
        <f t="shared" si="11"/>
        <v>0</v>
      </c>
    </row>
    <row r="187" spans="1:23">
      <c r="A187" s="77"/>
      <c r="B187" s="76"/>
      <c r="C187" s="77"/>
      <c r="D187" s="81"/>
      <c r="E187" s="82"/>
      <c r="F187" s="82"/>
      <c r="G187" s="83"/>
      <c r="H187" s="84"/>
      <c r="I187" s="85"/>
      <c r="J187" s="85"/>
      <c r="K187" s="85"/>
      <c r="L187" s="85"/>
      <c r="M187" s="93" t="e">
        <f>#REF!&amp;" "&amp;ContractorPayroll[[#This Row],[Employee ID Number / Code]]</f>
        <v>#REF!</v>
      </c>
      <c r="N187" s="71" t="str">
        <f>_xlfn.IFNA(IF(C187="","",VLOOKUP(ContractorPayroll[[#This Row],[Position / Title]],Lists!I:K,3,FALSE)),"")</f>
        <v/>
      </c>
      <c r="O187" s="42" t="str">
        <f>IF(ContractorPayroll[[#This Row],[Position / Title]]="","",VLOOKUP(ContractorPayroll[[#This Row],[Position / Title]],Lists!I:K,2,FALSE))</f>
        <v/>
      </c>
      <c r="P187" s="22" t="str">
        <f>IF(D187="","",ContractorPayroll[[#This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7" s="31">
        <f>IFERROR(IF(ContractorPayroll[[#This Row],[Annual Cost of Wage Increase included in Rate Adjustment]]=0,0,R187*'Facility Info Input'!$F$10),0)</f>
        <v>0</v>
      </c>
      <c r="T187" s="32">
        <f t="shared" si="8"/>
        <v>0</v>
      </c>
      <c r="U187" s="32">
        <f t="shared" si="9"/>
        <v>0</v>
      </c>
      <c r="V187" s="32">
        <f t="shared" si="10"/>
        <v>0</v>
      </c>
      <c r="W187" s="32">
        <f t="shared" si="11"/>
        <v>0</v>
      </c>
    </row>
    <row r="188" spans="1:23">
      <c r="A188" s="77"/>
      <c r="B188" s="76"/>
      <c r="C188" s="77"/>
      <c r="D188" s="81"/>
      <c r="E188" s="82"/>
      <c r="F188" s="82"/>
      <c r="G188" s="83"/>
      <c r="H188" s="84"/>
      <c r="I188" s="85"/>
      <c r="J188" s="85"/>
      <c r="K188" s="85"/>
      <c r="L188" s="85"/>
      <c r="M188" s="93" t="e">
        <f>#REF!&amp;" "&amp;ContractorPayroll[[#This Row],[Employee ID Number / Code]]</f>
        <v>#REF!</v>
      </c>
      <c r="N188" s="71" t="str">
        <f>_xlfn.IFNA(IF(C188="","",VLOOKUP(ContractorPayroll[[#This Row],[Position / Title]],Lists!I:K,3,FALSE)),"")</f>
        <v/>
      </c>
      <c r="O188" s="42" t="str">
        <f>IF(ContractorPayroll[[#This Row],[Position / Title]]="","",VLOOKUP(ContractorPayroll[[#This Row],[Position / Title]],Lists!I:K,2,FALSE))</f>
        <v/>
      </c>
      <c r="P188" s="22" t="str">
        <f>IF(D188="","",ContractorPayroll[[#This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8" s="31">
        <f>IFERROR(IF(ContractorPayroll[[#This Row],[Annual Cost of Wage Increase included in Rate Adjustment]]=0,0,R188*'Facility Info Input'!$F$10),0)</f>
        <v>0</v>
      </c>
      <c r="T188" s="32">
        <f t="shared" si="8"/>
        <v>0</v>
      </c>
      <c r="U188" s="32">
        <f t="shared" si="9"/>
        <v>0</v>
      </c>
      <c r="V188" s="32">
        <f t="shared" si="10"/>
        <v>0</v>
      </c>
      <c r="W188" s="32">
        <f t="shared" si="11"/>
        <v>0</v>
      </c>
    </row>
    <row r="189" spans="1:23">
      <c r="A189" s="77"/>
      <c r="B189" s="76"/>
      <c r="C189" s="77"/>
      <c r="D189" s="81"/>
      <c r="E189" s="82"/>
      <c r="F189" s="82"/>
      <c r="G189" s="83"/>
      <c r="H189" s="84"/>
      <c r="I189" s="85"/>
      <c r="J189" s="85"/>
      <c r="K189" s="85"/>
      <c r="L189" s="85"/>
      <c r="M189" s="93" t="e">
        <f>#REF!&amp;" "&amp;ContractorPayroll[[#This Row],[Employee ID Number / Code]]</f>
        <v>#REF!</v>
      </c>
      <c r="N189" s="71" t="str">
        <f>_xlfn.IFNA(IF(C189="","",VLOOKUP(ContractorPayroll[[#This Row],[Position / Title]],Lists!I:K,3,FALSE)),"")</f>
        <v/>
      </c>
      <c r="O189" s="42" t="str">
        <f>IF(ContractorPayroll[[#This Row],[Position / Title]]="","",VLOOKUP(ContractorPayroll[[#This Row],[Position / Title]],Lists!I:K,2,FALSE))</f>
        <v/>
      </c>
      <c r="P189" s="22" t="str">
        <f>IF(D189="","",ContractorPayroll[[#This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8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8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89" s="31">
        <f>IFERROR(IF(ContractorPayroll[[#This Row],[Annual Cost of Wage Increase included in Rate Adjustment]]=0,0,R189*'Facility Info Input'!$F$10),0)</f>
        <v>0</v>
      </c>
      <c r="T189" s="32">
        <f t="shared" si="8"/>
        <v>0</v>
      </c>
      <c r="U189" s="32">
        <f t="shared" si="9"/>
        <v>0</v>
      </c>
      <c r="V189" s="32">
        <f t="shared" si="10"/>
        <v>0</v>
      </c>
      <c r="W189" s="32">
        <f t="shared" si="11"/>
        <v>0</v>
      </c>
    </row>
    <row r="190" spans="1:23">
      <c r="A190" s="77"/>
      <c r="B190" s="76"/>
      <c r="C190" s="77"/>
      <c r="D190" s="81"/>
      <c r="E190" s="82"/>
      <c r="F190" s="82"/>
      <c r="G190" s="83"/>
      <c r="H190" s="84"/>
      <c r="I190" s="85"/>
      <c r="J190" s="85"/>
      <c r="K190" s="85"/>
      <c r="L190" s="85"/>
      <c r="M190" s="93" t="e">
        <f>#REF!&amp;" "&amp;ContractorPayroll[[#This Row],[Employee ID Number / Code]]</f>
        <v>#REF!</v>
      </c>
      <c r="N190" s="71" t="str">
        <f>_xlfn.IFNA(IF(C190="","",VLOOKUP(ContractorPayroll[[#This Row],[Position / Title]],Lists!I:K,3,FALSE)),"")</f>
        <v/>
      </c>
      <c r="O190" s="42" t="str">
        <f>IF(ContractorPayroll[[#This Row],[Position / Title]]="","",VLOOKUP(ContractorPayroll[[#This Row],[Position / Title]],Lists!I:K,2,FALSE))</f>
        <v/>
      </c>
      <c r="P190" s="22" t="str">
        <f>IF(D190="","",ContractorPayroll[[#This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0" s="31">
        <f>IFERROR(IF(ContractorPayroll[[#This Row],[Annual Cost of Wage Increase included in Rate Adjustment]]=0,0,R190*'Facility Info Input'!$F$10),0)</f>
        <v>0</v>
      </c>
      <c r="T190" s="32">
        <f t="shared" si="8"/>
        <v>0</v>
      </c>
      <c r="U190" s="32">
        <f t="shared" si="9"/>
        <v>0</v>
      </c>
      <c r="V190" s="32">
        <f t="shared" si="10"/>
        <v>0</v>
      </c>
      <c r="W190" s="32">
        <f t="shared" si="11"/>
        <v>0</v>
      </c>
    </row>
    <row r="191" spans="1:23">
      <c r="A191" s="77"/>
      <c r="B191" s="76"/>
      <c r="C191" s="77"/>
      <c r="D191" s="81"/>
      <c r="E191" s="82"/>
      <c r="F191" s="82"/>
      <c r="G191" s="83"/>
      <c r="H191" s="84"/>
      <c r="I191" s="85"/>
      <c r="J191" s="85"/>
      <c r="K191" s="85"/>
      <c r="L191" s="85"/>
      <c r="M191" s="93" t="e">
        <f>#REF!&amp;" "&amp;ContractorPayroll[[#This Row],[Employee ID Number / Code]]</f>
        <v>#REF!</v>
      </c>
      <c r="N191" s="71" t="str">
        <f>_xlfn.IFNA(IF(C191="","",VLOOKUP(ContractorPayroll[[#This Row],[Position / Title]],Lists!I:K,3,FALSE)),"")</f>
        <v/>
      </c>
      <c r="O191" s="42" t="str">
        <f>IF(ContractorPayroll[[#This Row],[Position / Title]]="","",VLOOKUP(ContractorPayroll[[#This Row],[Position / Title]],Lists!I:K,2,FALSE))</f>
        <v/>
      </c>
      <c r="P191" s="22" t="str">
        <f>IF(D191="","",ContractorPayroll[[#This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1" s="31">
        <f>IFERROR(IF(ContractorPayroll[[#This Row],[Annual Cost of Wage Increase included in Rate Adjustment]]=0,0,R191*'Facility Info Input'!$F$10),0)</f>
        <v>0</v>
      </c>
      <c r="T191" s="32">
        <f t="shared" si="8"/>
        <v>0</v>
      </c>
      <c r="U191" s="32">
        <f t="shared" si="9"/>
        <v>0</v>
      </c>
      <c r="V191" s="32">
        <f t="shared" si="10"/>
        <v>0</v>
      </c>
      <c r="W191" s="32">
        <f t="shared" si="11"/>
        <v>0</v>
      </c>
    </row>
    <row r="192" spans="1:23">
      <c r="A192" s="77"/>
      <c r="B192" s="76"/>
      <c r="C192" s="77"/>
      <c r="D192" s="81"/>
      <c r="E192" s="82"/>
      <c r="F192" s="82"/>
      <c r="G192" s="83"/>
      <c r="H192" s="84"/>
      <c r="I192" s="85"/>
      <c r="J192" s="85"/>
      <c r="K192" s="85"/>
      <c r="L192" s="85"/>
      <c r="M192" s="93" t="e">
        <f>#REF!&amp;" "&amp;ContractorPayroll[[#This Row],[Employee ID Number / Code]]</f>
        <v>#REF!</v>
      </c>
      <c r="N192" s="71" t="str">
        <f>_xlfn.IFNA(IF(C192="","",VLOOKUP(ContractorPayroll[[#This Row],[Position / Title]],Lists!I:K,3,FALSE)),"")</f>
        <v/>
      </c>
      <c r="O192" s="42" t="str">
        <f>IF(ContractorPayroll[[#This Row],[Position / Title]]="","",VLOOKUP(ContractorPayroll[[#This Row],[Position / Title]],Lists!I:K,2,FALSE))</f>
        <v/>
      </c>
      <c r="P192" s="22" t="str">
        <f>IF(D192="","",ContractorPayroll[[#This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2" s="31">
        <f>IFERROR(IF(ContractorPayroll[[#This Row],[Annual Cost of Wage Increase included in Rate Adjustment]]=0,0,R192*'Facility Info Input'!$F$10),0)</f>
        <v>0</v>
      </c>
      <c r="T192" s="32">
        <f t="shared" si="8"/>
        <v>0</v>
      </c>
      <c r="U192" s="32">
        <f t="shared" si="9"/>
        <v>0</v>
      </c>
      <c r="V192" s="32">
        <f t="shared" si="10"/>
        <v>0</v>
      </c>
      <c r="W192" s="32">
        <f t="shared" si="11"/>
        <v>0</v>
      </c>
    </row>
    <row r="193" spans="1:23">
      <c r="A193" s="77"/>
      <c r="B193" s="76"/>
      <c r="C193" s="77"/>
      <c r="D193" s="81"/>
      <c r="E193" s="82"/>
      <c r="F193" s="82"/>
      <c r="G193" s="83"/>
      <c r="H193" s="84"/>
      <c r="I193" s="85"/>
      <c r="J193" s="85"/>
      <c r="K193" s="85"/>
      <c r="L193" s="85"/>
      <c r="M193" s="93" t="e">
        <f>#REF!&amp;" "&amp;ContractorPayroll[[#This Row],[Employee ID Number / Code]]</f>
        <v>#REF!</v>
      </c>
      <c r="N193" s="71" t="str">
        <f>_xlfn.IFNA(IF(C193="","",VLOOKUP(ContractorPayroll[[#This Row],[Position / Title]],Lists!I:K,3,FALSE)),"")</f>
        <v/>
      </c>
      <c r="O193" s="42" t="str">
        <f>IF(ContractorPayroll[[#This Row],[Position / Title]]="","",VLOOKUP(ContractorPayroll[[#This Row],[Position / Title]],Lists!I:K,2,FALSE))</f>
        <v/>
      </c>
      <c r="P193" s="22" t="str">
        <f>IF(D193="","",ContractorPayroll[[#This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3" s="31">
        <f>IFERROR(IF(ContractorPayroll[[#This Row],[Annual Cost of Wage Increase included in Rate Adjustment]]=0,0,R193*'Facility Info Input'!$F$10),0)</f>
        <v>0</v>
      </c>
      <c r="T193" s="32">
        <f t="shared" si="8"/>
        <v>0</v>
      </c>
      <c r="U193" s="32">
        <f t="shared" si="9"/>
        <v>0</v>
      </c>
      <c r="V193" s="32">
        <f t="shared" si="10"/>
        <v>0</v>
      </c>
      <c r="W193" s="32">
        <f t="shared" si="11"/>
        <v>0</v>
      </c>
    </row>
    <row r="194" spans="1:23">
      <c r="A194" s="77"/>
      <c r="B194" s="76"/>
      <c r="C194" s="77"/>
      <c r="D194" s="81"/>
      <c r="E194" s="82"/>
      <c r="F194" s="82"/>
      <c r="G194" s="83"/>
      <c r="H194" s="84"/>
      <c r="I194" s="85"/>
      <c r="J194" s="85"/>
      <c r="K194" s="85"/>
      <c r="L194" s="85"/>
      <c r="M194" s="93" t="e">
        <f>#REF!&amp;" "&amp;ContractorPayroll[[#This Row],[Employee ID Number / Code]]</f>
        <v>#REF!</v>
      </c>
      <c r="N194" s="71" t="str">
        <f>_xlfn.IFNA(IF(C194="","",VLOOKUP(ContractorPayroll[[#This Row],[Position / Title]],Lists!I:K,3,FALSE)),"")</f>
        <v/>
      </c>
      <c r="O194" s="42" t="str">
        <f>IF(ContractorPayroll[[#This Row],[Position / Title]]="","",VLOOKUP(ContractorPayroll[[#This Row],[Position / Title]],Lists!I:K,2,FALSE))</f>
        <v/>
      </c>
      <c r="P194" s="22" t="str">
        <f>IF(D194="","",ContractorPayroll[[#This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4" s="31">
        <f>IFERROR(IF(ContractorPayroll[[#This Row],[Annual Cost of Wage Increase included in Rate Adjustment]]=0,0,R194*'Facility Info Input'!$F$10),0)</f>
        <v>0</v>
      </c>
      <c r="T194" s="32">
        <f t="shared" ref="T194:T257" si="12">IFERROR(J194*R194,0)</f>
        <v>0</v>
      </c>
      <c r="U194" s="32">
        <f t="shared" ref="U194:U257" si="13">IFERROR(K194*R194,0)</f>
        <v>0</v>
      </c>
      <c r="V194" s="32">
        <f t="shared" ref="V194:V257" si="14">IFERROR(IF(H194="Yes",I194*R194,0),0)</f>
        <v>0</v>
      </c>
      <c r="W194" s="32">
        <f t="shared" si="11"/>
        <v>0</v>
      </c>
    </row>
    <row r="195" spans="1:23">
      <c r="A195" s="77"/>
      <c r="B195" s="76"/>
      <c r="C195" s="77"/>
      <c r="D195" s="81"/>
      <c r="E195" s="82"/>
      <c r="F195" s="82"/>
      <c r="G195" s="83"/>
      <c r="H195" s="84"/>
      <c r="I195" s="85"/>
      <c r="J195" s="85"/>
      <c r="K195" s="85"/>
      <c r="L195" s="85"/>
      <c r="M195" s="93" t="e">
        <f>#REF!&amp;" "&amp;ContractorPayroll[[#This Row],[Employee ID Number / Code]]</f>
        <v>#REF!</v>
      </c>
      <c r="N195" s="71" t="str">
        <f>_xlfn.IFNA(IF(C195="","",VLOOKUP(ContractorPayroll[[#This Row],[Position / Title]],Lists!I:K,3,FALSE)),"")</f>
        <v/>
      </c>
      <c r="O195" s="42" t="str">
        <f>IF(ContractorPayroll[[#This Row],[Position / Title]]="","",VLOOKUP(ContractorPayroll[[#This Row],[Position / Title]],Lists!I:K,2,FALSE))</f>
        <v/>
      </c>
      <c r="P195" s="22" t="str">
        <f>IF(D195="","",ContractorPayroll[[#This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5" s="31">
        <f>IFERROR(IF(ContractorPayroll[[#This Row],[Annual Cost of Wage Increase included in Rate Adjustment]]=0,0,R195*'Facility Info Input'!$F$10),0)</f>
        <v>0</v>
      </c>
      <c r="T195" s="32">
        <f t="shared" si="12"/>
        <v>0</v>
      </c>
      <c r="U195" s="32">
        <f t="shared" si="13"/>
        <v>0</v>
      </c>
      <c r="V195" s="32">
        <f t="shared" si="14"/>
        <v>0</v>
      </c>
      <c r="W195" s="32">
        <f t="shared" ref="W195:W258" si="15">IFERROR(SUM(R195:V195),0)</f>
        <v>0</v>
      </c>
    </row>
    <row r="196" spans="1:23">
      <c r="A196" s="77"/>
      <c r="B196" s="76"/>
      <c r="C196" s="77"/>
      <c r="D196" s="81"/>
      <c r="E196" s="82"/>
      <c r="F196" s="82"/>
      <c r="G196" s="83"/>
      <c r="H196" s="84"/>
      <c r="I196" s="85"/>
      <c r="J196" s="85"/>
      <c r="K196" s="85"/>
      <c r="L196" s="85"/>
      <c r="M196" s="93" t="e">
        <f>#REF!&amp;" "&amp;ContractorPayroll[[#This Row],[Employee ID Number / Code]]</f>
        <v>#REF!</v>
      </c>
      <c r="N196" s="71" t="str">
        <f>_xlfn.IFNA(IF(C196="","",VLOOKUP(ContractorPayroll[[#This Row],[Position / Title]],Lists!I:K,3,FALSE)),"")</f>
        <v/>
      </c>
      <c r="O196" s="42" t="str">
        <f>IF(ContractorPayroll[[#This Row],[Position / Title]]="","",VLOOKUP(ContractorPayroll[[#This Row],[Position / Title]],Lists!I:K,2,FALSE))</f>
        <v/>
      </c>
      <c r="P196" s="22" t="str">
        <f>IF(D196="","",ContractorPayroll[[#This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6" s="31">
        <f>IFERROR(IF(ContractorPayroll[[#This Row],[Annual Cost of Wage Increase included in Rate Adjustment]]=0,0,R196*'Facility Info Input'!$F$10),0)</f>
        <v>0</v>
      </c>
      <c r="T196" s="32">
        <f t="shared" si="12"/>
        <v>0</v>
      </c>
      <c r="U196" s="32">
        <f t="shared" si="13"/>
        <v>0</v>
      </c>
      <c r="V196" s="32">
        <f t="shared" si="14"/>
        <v>0</v>
      </c>
      <c r="W196" s="32">
        <f t="shared" si="15"/>
        <v>0</v>
      </c>
    </row>
    <row r="197" spans="1:23">
      <c r="A197" s="77"/>
      <c r="B197" s="76"/>
      <c r="C197" s="77"/>
      <c r="D197" s="81"/>
      <c r="E197" s="82"/>
      <c r="F197" s="82"/>
      <c r="G197" s="83"/>
      <c r="H197" s="84"/>
      <c r="I197" s="85"/>
      <c r="J197" s="85"/>
      <c r="K197" s="85"/>
      <c r="L197" s="85"/>
      <c r="M197" s="93" t="e">
        <f>#REF!&amp;" "&amp;ContractorPayroll[[#This Row],[Employee ID Number / Code]]</f>
        <v>#REF!</v>
      </c>
      <c r="N197" s="71" t="str">
        <f>_xlfn.IFNA(IF(C197="","",VLOOKUP(ContractorPayroll[[#This Row],[Position / Title]],Lists!I:K,3,FALSE)),"")</f>
        <v/>
      </c>
      <c r="O197" s="42" t="str">
        <f>IF(ContractorPayroll[[#This Row],[Position / Title]]="","",VLOOKUP(ContractorPayroll[[#This Row],[Position / Title]],Lists!I:K,2,FALSE))</f>
        <v/>
      </c>
      <c r="P197" s="22" t="str">
        <f>IF(D197="","",ContractorPayroll[[#This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7" s="31">
        <f>IFERROR(IF(ContractorPayroll[[#This Row],[Annual Cost of Wage Increase included in Rate Adjustment]]=0,0,R197*'Facility Info Input'!$F$10),0)</f>
        <v>0</v>
      </c>
      <c r="T197" s="32">
        <f t="shared" si="12"/>
        <v>0</v>
      </c>
      <c r="U197" s="32">
        <f t="shared" si="13"/>
        <v>0</v>
      </c>
      <c r="V197" s="32">
        <f t="shared" si="14"/>
        <v>0</v>
      </c>
      <c r="W197" s="32">
        <f t="shared" si="15"/>
        <v>0</v>
      </c>
    </row>
    <row r="198" spans="1:23">
      <c r="A198" s="77"/>
      <c r="B198" s="76"/>
      <c r="C198" s="77"/>
      <c r="D198" s="81"/>
      <c r="E198" s="82"/>
      <c r="F198" s="82"/>
      <c r="G198" s="83"/>
      <c r="H198" s="84"/>
      <c r="I198" s="85"/>
      <c r="J198" s="85"/>
      <c r="K198" s="85"/>
      <c r="L198" s="85"/>
      <c r="M198" s="93" t="e">
        <f>#REF!&amp;" "&amp;ContractorPayroll[[#This Row],[Employee ID Number / Code]]</f>
        <v>#REF!</v>
      </c>
      <c r="N198" s="71" t="str">
        <f>_xlfn.IFNA(IF(C198="","",VLOOKUP(ContractorPayroll[[#This Row],[Position / Title]],Lists!I:K,3,FALSE)),"")</f>
        <v/>
      </c>
      <c r="O198" s="42" t="str">
        <f>IF(ContractorPayroll[[#This Row],[Position / Title]]="","",VLOOKUP(ContractorPayroll[[#This Row],[Position / Title]],Lists!I:K,2,FALSE))</f>
        <v/>
      </c>
      <c r="P198" s="22" t="str">
        <f>IF(D198="","",ContractorPayroll[[#This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8" s="31">
        <f>IFERROR(IF(ContractorPayroll[[#This Row],[Annual Cost of Wage Increase included in Rate Adjustment]]=0,0,R198*'Facility Info Input'!$F$10),0)</f>
        <v>0</v>
      </c>
      <c r="T198" s="32">
        <f t="shared" si="12"/>
        <v>0</v>
      </c>
      <c r="U198" s="32">
        <f t="shared" si="13"/>
        <v>0</v>
      </c>
      <c r="V198" s="32">
        <f t="shared" si="14"/>
        <v>0</v>
      </c>
      <c r="W198" s="32">
        <f t="shared" si="15"/>
        <v>0</v>
      </c>
    </row>
    <row r="199" spans="1:23">
      <c r="A199" s="77"/>
      <c r="B199" s="76"/>
      <c r="C199" s="77"/>
      <c r="D199" s="81"/>
      <c r="E199" s="82"/>
      <c r="F199" s="82"/>
      <c r="G199" s="83"/>
      <c r="H199" s="84"/>
      <c r="I199" s="85"/>
      <c r="J199" s="85"/>
      <c r="K199" s="85"/>
      <c r="L199" s="85"/>
      <c r="M199" s="93" t="e">
        <f>#REF!&amp;" "&amp;ContractorPayroll[[#This Row],[Employee ID Number / Code]]</f>
        <v>#REF!</v>
      </c>
      <c r="N199" s="71" t="str">
        <f>_xlfn.IFNA(IF(C199="","",VLOOKUP(ContractorPayroll[[#This Row],[Position / Title]],Lists!I:K,3,FALSE)),"")</f>
        <v/>
      </c>
      <c r="O199" s="42" t="str">
        <f>IF(ContractorPayroll[[#This Row],[Position / Title]]="","",VLOOKUP(ContractorPayroll[[#This Row],[Position / Title]],Lists!I:K,2,FALSE))</f>
        <v/>
      </c>
      <c r="P199" s="22" t="str">
        <f>IF(D199="","",ContractorPayroll[[#This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19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19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199" s="31">
        <f>IFERROR(IF(ContractorPayroll[[#This Row],[Annual Cost of Wage Increase included in Rate Adjustment]]=0,0,R199*'Facility Info Input'!$F$10),0)</f>
        <v>0</v>
      </c>
      <c r="T199" s="32">
        <f t="shared" si="12"/>
        <v>0</v>
      </c>
      <c r="U199" s="32">
        <f t="shared" si="13"/>
        <v>0</v>
      </c>
      <c r="V199" s="32">
        <f t="shared" si="14"/>
        <v>0</v>
      </c>
      <c r="W199" s="32">
        <f t="shared" si="15"/>
        <v>0</v>
      </c>
    </row>
    <row r="200" spans="1:23">
      <c r="A200" s="77"/>
      <c r="B200" s="76"/>
      <c r="C200" s="77"/>
      <c r="D200" s="81"/>
      <c r="E200" s="82"/>
      <c r="F200" s="82"/>
      <c r="G200" s="83"/>
      <c r="H200" s="84"/>
      <c r="I200" s="85"/>
      <c r="J200" s="85"/>
      <c r="K200" s="85"/>
      <c r="L200" s="85"/>
      <c r="M200" s="93" t="e">
        <f>#REF!&amp;" "&amp;ContractorPayroll[[#This Row],[Employee ID Number / Code]]</f>
        <v>#REF!</v>
      </c>
      <c r="N200" s="71" t="str">
        <f>_xlfn.IFNA(IF(C200="","",VLOOKUP(ContractorPayroll[[#This Row],[Position / Title]],Lists!I:K,3,FALSE)),"")</f>
        <v/>
      </c>
      <c r="O200" s="42" t="str">
        <f>IF(ContractorPayroll[[#This Row],[Position / Title]]="","",VLOOKUP(ContractorPayroll[[#This Row],[Position / Title]],Lists!I:K,2,FALSE))</f>
        <v/>
      </c>
      <c r="P200" s="22" t="str">
        <f>IF(D200="","",ContractorPayroll[[#This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0" s="31">
        <f>IFERROR(IF(ContractorPayroll[[#This Row],[Annual Cost of Wage Increase included in Rate Adjustment]]=0,0,R200*'Facility Info Input'!$F$10),0)</f>
        <v>0</v>
      </c>
      <c r="T200" s="32">
        <f t="shared" si="12"/>
        <v>0</v>
      </c>
      <c r="U200" s="32">
        <f t="shared" si="13"/>
        <v>0</v>
      </c>
      <c r="V200" s="32">
        <f t="shared" si="14"/>
        <v>0</v>
      </c>
      <c r="W200" s="32">
        <f t="shared" si="15"/>
        <v>0</v>
      </c>
    </row>
    <row r="201" spans="1:23">
      <c r="A201" s="77"/>
      <c r="B201" s="76"/>
      <c r="C201" s="77"/>
      <c r="D201" s="81"/>
      <c r="E201" s="82"/>
      <c r="F201" s="82"/>
      <c r="G201" s="83"/>
      <c r="H201" s="84"/>
      <c r="I201" s="85"/>
      <c r="J201" s="85"/>
      <c r="K201" s="85"/>
      <c r="L201" s="85"/>
      <c r="M201" s="93" t="e">
        <f>#REF!&amp;" "&amp;ContractorPayroll[[#This Row],[Employee ID Number / Code]]</f>
        <v>#REF!</v>
      </c>
      <c r="N201" s="71" t="str">
        <f>_xlfn.IFNA(IF(C201="","",VLOOKUP(ContractorPayroll[[#This Row],[Position / Title]],Lists!I:K,3,FALSE)),"")</f>
        <v/>
      </c>
      <c r="O201" s="42" t="str">
        <f>IF(ContractorPayroll[[#This Row],[Position / Title]]="","",VLOOKUP(ContractorPayroll[[#This Row],[Position / Title]],Lists!I:K,2,FALSE))</f>
        <v/>
      </c>
      <c r="P201" s="22" t="str">
        <f>IF(D201="","",ContractorPayroll[[#This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1" s="31">
        <f>IFERROR(IF(ContractorPayroll[[#This Row],[Annual Cost of Wage Increase included in Rate Adjustment]]=0,0,R201*'Facility Info Input'!$F$10),0)</f>
        <v>0</v>
      </c>
      <c r="T201" s="32">
        <f t="shared" si="12"/>
        <v>0</v>
      </c>
      <c r="U201" s="32">
        <f t="shared" si="13"/>
        <v>0</v>
      </c>
      <c r="V201" s="32">
        <f t="shared" si="14"/>
        <v>0</v>
      </c>
      <c r="W201" s="32">
        <f t="shared" si="15"/>
        <v>0</v>
      </c>
    </row>
    <row r="202" spans="1:23">
      <c r="A202" s="77"/>
      <c r="B202" s="76"/>
      <c r="C202" s="77"/>
      <c r="D202" s="81"/>
      <c r="E202" s="82"/>
      <c r="F202" s="82"/>
      <c r="G202" s="83"/>
      <c r="H202" s="84"/>
      <c r="I202" s="85"/>
      <c r="J202" s="85"/>
      <c r="K202" s="85"/>
      <c r="L202" s="85"/>
      <c r="M202" s="93" t="e">
        <f>#REF!&amp;" "&amp;ContractorPayroll[[#This Row],[Employee ID Number / Code]]</f>
        <v>#REF!</v>
      </c>
      <c r="N202" s="71" t="str">
        <f>_xlfn.IFNA(IF(C202="","",VLOOKUP(ContractorPayroll[[#This Row],[Position / Title]],Lists!I:K,3,FALSE)),"")</f>
        <v/>
      </c>
      <c r="O202" s="42" t="str">
        <f>IF(ContractorPayroll[[#This Row],[Position / Title]]="","",VLOOKUP(ContractorPayroll[[#This Row],[Position / Title]],Lists!I:K,2,FALSE))</f>
        <v/>
      </c>
      <c r="P202" s="22" t="str">
        <f>IF(D202="","",ContractorPayroll[[#This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2" s="31">
        <f>IFERROR(IF(ContractorPayroll[[#This Row],[Annual Cost of Wage Increase included in Rate Adjustment]]=0,0,R202*'Facility Info Input'!$F$10),0)</f>
        <v>0</v>
      </c>
      <c r="T202" s="32">
        <f t="shared" si="12"/>
        <v>0</v>
      </c>
      <c r="U202" s="32">
        <f t="shared" si="13"/>
        <v>0</v>
      </c>
      <c r="V202" s="32">
        <f t="shared" si="14"/>
        <v>0</v>
      </c>
      <c r="W202" s="32">
        <f t="shared" si="15"/>
        <v>0</v>
      </c>
    </row>
    <row r="203" spans="1:23">
      <c r="A203" s="77"/>
      <c r="B203" s="76"/>
      <c r="C203" s="77"/>
      <c r="D203" s="81"/>
      <c r="E203" s="82"/>
      <c r="F203" s="82"/>
      <c r="G203" s="83"/>
      <c r="H203" s="84"/>
      <c r="I203" s="85"/>
      <c r="J203" s="85"/>
      <c r="K203" s="85"/>
      <c r="L203" s="85"/>
      <c r="M203" s="93" t="e">
        <f>#REF!&amp;" "&amp;ContractorPayroll[[#This Row],[Employee ID Number / Code]]</f>
        <v>#REF!</v>
      </c>
      <c r="N203" s="71" t="str">
        <f>_xlfn.IFNA(IF(C203="","",VLOOKUP(ContractorPayroll[[#This Row],[Position / Title]],Lists!I:K,3,FALSE)),"")</f>
        <v/>
      </c>
      <c r="O203" s="42" t="str">
        <f>IF(ContractorPayroll[[#This Row],[Position / Title]]="","",VLOOKUP(ContractorPayroll[[#This Row],[Position / Title]],Lists!I:K,2,FALSE))</f>
        <v/>
      </c>
      <c r="P203" s="22" t="str">
        <f>IF(D203="","",ContractorPayroll[[#This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3" s="31">
        <f>IFERROR(IF(ContractorPayroll[[#This Row],[Annual Cost of Wage Increase included in Rate Adjustment]]=0,0,R203*'Facility Info Input'!$F$10),0)</f>
        <v>0</v>
      </c>
      <c r="T203" s="32">
        <f t="shared" si="12"/>
        <v>0</v>
      </c>
      <c r="U203" s="32">
        <f t="shared" si="13"/>
        <v>0</v>
      </c>
      <c r="V203" s="32">
        <f t="shared" si="14"/>
        <v>0</v>
      </c>
      <c r="W203" s="32">
        <f t="shared" si="15"/>
        <v>0</v>
      </c>
    </row>
    <row r="204" spans="1:23">
      <c r="A204" s="77"/>
      <c r="B204" s="76"/>
      <c r="C204" s="77"/>
      <c r="D204" s="81"/>
      <c r="E204" s="82"/>
      <c r="F204" s="82"/>
      <c r="G204" s="83"/>
      <c r="H204" s="84"/>
      <c r="I204" s="85"/>
      <c r="J204" s="85"/>
      <c r="K204" s="85"/>
      <c r="L204" s="85"/>
      <c r="M204" s="93" t="e">
        <f>#REF!&amp;" "&amp;ContractorPayroll[[#This Row],[Employee ID Number / Code]]</f>
        <v>#REF!</v>
      </c>
      <c r="N204" s="71" t="str">
        <f>_xlfn.IFNA(IF(C204="","",VLOOKUP(ContractorPayroll[[#This Row],[Position / Title]],Lists!I:K,3,FALSE)),"")</f>
        <v/>
      </c>
      <c r="O204" s="42" t="str">
        <f>IF(ContractorPayroll[[#This Row],[Position / Title]]="","",VLOOKUP(ContractorPayroll[[#This Row],[Position / Title]],Lists!I:K,2,FALSE))</f>
        <v/>
      </c>
      <c r="P204" s="22" t="str">
        <f>IF(D204="","",ContractorPayroll[[#This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4" s="31">
        <f>IFERROR(IF(ContractorPayroll[[#This Row],[Annual Cost of Wage Increase included in Rate Adjustment]]=0,0,R204*'Facility Info Input'!$F$10),0)</f>
        <v>0</v>
      </c>
      <c r="T204" s="32">
        <f t="shared" si="12"/>
        <v>0</v>
      </c>
      <c r="U204" s="32">
        <f t="shared" si="13"/>
        <v>0</v>
      </c>
      <c r="V204" s="32">
        <f t="shared" si="14"/>
        <v>0</v>
      </c>
      <c r="W204" s="32">
        <f t="shared" si="15"/>
        <v>0</v>
      </c>
    </row>
    <row r="205" spans="1:23">
      <c r="A205" s="77"/>
      <c r="B205" s="76"/>
      <c r="C205" s="77"/>
      <c r="D205" s="81"/>
      <c r="E205" s="82"/>
      <c r="F205" s="82"/>
      <c r="G205" s="83"/>
      <c r="H205" s="84"/>
      <c r="I205" s="85"/>
      <c r="J205" s="85"/>
      <c r="K205" s="85"/>
      <c r="L205" s="85"/>
      <c r="M205" s="93" t="e">
        <f>#REF!&amp;" "&amp;ContractorPayroll[[#This Row],[Employee ID Number / Code]]</f>
        <v>#REF!</v>
      </c>
      <c r="N205" s="71" t="str">
        <f>_xlfn.IFNA(IF(C205="","",VLOOKUP(ContractorPayroll[[#This Row],[Position / Title]],Lists!I:K,3,FALSE)),"")</f>
        <v/>
      </c>
      <c r="O205" s="42" t="str">
        <f>IF(ContractorPayroll[[#This Row],[Position / Title]]="","",VLOOKUP(ContractorPayroll[[#This Row],[Position / Title]],Lists!I:K,2,FALSE))</f>
        <v/>
      </c>
      <c r="P205" s="22" t="str">
        <f>IF(D205="","",ContractorPayroll[[#This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5" s="31">
        <f>IFERROR(IF(ContractorPayroll[[#This Row],[Annual Cost of Wage Increase included in Rate Adjustment]]=0,0,R205*'Facility Info Input'!$F$10),0)</f>
        <v>0</v>
      </c>
      <c r="T205" s="32">
        <f t="shared" si="12"/>
        <v>0</v>
      </c>
      <c r="U205" s="32">
        <f t="shared" si="13"/>
        <v>0</v>
      </c>
      <c r="V205" s="32">
        <f t="shared" si="14"/>
        <v>0</v>
      </c>
      <c r="W205" s="32">
        <f t="shared" si="15"/>
        <v>0</v>
      </c>
    </row>
    <row r="206" spans="1:23">
      <c r="A206" s="77"/>
      <c r="B206" s="76"/>
      <c r="C206" s="77"/>
      <c r="D206" s="81"/>
      <c r="E206" s="82"/>
      <c r="F206" s="82"/>
      <c r="G206" s="83"/>
      <c r="H206" s="84"/>
      <c r="I206" s="85"/>
      <c r="J206" s="85"/>
      <c r="K206" s="85"/>
      <c r="L206" s="85"/>
      <c r="M206" s="93" t="e">
        <f>#REF!&amp;" "&amp;ContractorPayroll[[#This Row],[Employee ID Number / Code]]</f>
        <v>#REF!</v>
      </c>
      <c r="N206" s="71" t="str">
        <f>_xlfn.IFNA(IF(C206="","",VLOOKUP(ContractorPayroll[[#This Row],[Position / Title]],Lists!I:K,3,FALSE)),"")</f>
        <v/>
      </c>
      <c r="O206" s="42" t="str">
        <f>IF(ContractorPayroll[[#This Row],[Position / Title]]="","",VLOOKUP(ContractorPayroll[[#This Row],[Position / Title]],Lists!I:K,2,FALSE))</f>
        <v/>
      </c>
      <c r="P206" s="22" t="str">
        <f>IF(D206="","",ContractorPayroll[[#This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6" s="31">
        <f>IFERROR(IF(ContractorPayroll[[#This Row],[Annual Cost of Wage Increase included in Rate Adjustment]]=0,0,R206*'Facility Info Input'!$F$10),0)</f>
        <v>0</v>
      </c>
      <c r="T206" s="32">
        <f t="shared" si="12"/>
        <v>0</v>
      </c>
      <c r="U206" s="32">
        <f t="shared" si="13"/>
        <v>0</v>
      </c>
      <c r="V206" s="32">
        <f t="shared" si="14"/>
        <v>0</v>
      </c>
      <c r="W206" s="32">
        <f t="shared" si="15"/>
        <v>0</v>
      </c>
    </row>
    <row r="207" spans="1:23">
      <c r="A207" s="77"/>
      <c r="B207" s="76"/>
      <c r="C207" s="77"/>
      <c r="D207" s="81"/>
      <c r="E207" s="82"/>
      <c r="F207" s="82"/>
      <c r="G207" s="83"/>
      <c r="H207" s="84"/>
      <c r="I207" s="85"/>
      <c r="J207" s="85"/>
      <c r="K207" s="85"/>
      <c r="L207" s="85"/>
      <c r="M207" s="93" t="e">
        <f>#REF!&amp;" "&amp;ContractorPayroll[[#This Row],[Employee ID Number / Code]]</f>
        <v>#REF!</v>
      </c>
      <c r="N207" s="71" t="str">
        <f>_xlfn.IFNA(IF(C207="","",VLOOKUP(ContractorPayroll[[#This Row],[Position / Title]],Lists!I:K,3,FALSE)),"")</f>
        <v/>
      </c>
      <c r="O207" s="42" t="str">
        <f>IF(ContractorPayroll[[#This Row],[Position / Title]]="","",VLOOKUP(ContractorPayroll[[#This Row],[Position / Title]],Lists!I:K,2,FALSE))</f>
        <v/>
      </c>
      <c r="P207" s="22" t="str">
        <f>IF(D207="","",ContractorPayroll[[#This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7" s="31">
        <f>IFERROR(IF(ContractorPayroll[[#This Row],[Annual Cost of Wage Increase included in Rate Adjustment]]=0,0,R207*'Facility Info Input'!$F$10),0)</f>
        <v>0</v>
      </c>
      <c r="T207" s="32">
        <f t="shared" si="12"/>
        <v>0</v>
      </c>
      <c r="U207" s="32">
        <f t="shared" si="13"/>
        <v>0</v>
      </c>
      <c r="V207" s="32">
        <f t="shared" si="14"/>
        <v>0</v>
      </c>
      <c r="W207" s="32">
        <f t="shared" si="15"/>
        <v>0</v>
      </c>
    </row>
    <row r="208" spans="1:23">
      <c r="A208" s="77"/>
      <c r="B208" s="76"/>
      <c r="C208" s="77"/>
      <c r="D208" s="81"/>
      <c r="E208" s="82"/>
      <c r="F208" s="82"/>
      <c r="G208" s="83"/>
      <c r="H208" s="84"/>
      <c r="I208" s="85"/>
      <c r="J208" s="85"/>
      <c r="K208" s="85"/>
      <c r="L208" s="85"/>
      <c r="M208" s="93" t="e">
        <f>#REF!&amp;" "&amp;ContractorPayroll[[#This Row],[Employee ID Number / Code]]</f>
        <v>#REF!</v>
      </c>
      <c r="N208" s="71" t="str">
        <f>_xlfn.IFNA(IF(C208="","",VLOOKUP(ContractorPayroll[[#This Row],[Position / Title]],Lists!I:K,3,FALSE)),"")</f>
        <v/>
      </c>
      <c r="O208" s="42" t="str">
        <f>IF(ContractorPayroll[[#This Row],[Position / Title]]="","",VLOOKUP(ContractorPayroll[[#This Row],[Position / Title]],Lists!I:K,2,FALSE))</f>
        <v/>
      </c>
      <c r="P208" s="22" t="str">
        <f>IF(D208="","",ContractorPayroll[[#This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8" s="31">
        <f>IFERROR(IF(ContractorPayroll[[#This Row],[Annual Cost of Wage Increase included in Rate Adjustment]]=0,0,R208*'Facility Info Input'!$F$10),0)</f>
        <v>0</v>
      </c>
      <c r="T208" s="32">
        <f t="shared" si="12"/>
        <v>0</v>
      </c>
      <c r="U208" s="32">
        <f t="shared" si="13"/>
        <v>0</v>
      </c>
      <c r="V208" s="32">
        <f t="shared" si="14"/>
        <v>0</v>
      </c>
      <c r="W208" s="32">
        <f t="shared" si="15"/>
        <v>0</v>
      </c>
    </row>
    <row r="209" spans="1:23">
      <c r="A209" s="77"/>
      <c r="B209" s="76"/>
      <c r="C209" s="77"/>
      <c r="D209" s="81"/>
      <c r="E209" s="82"/>
      <c r="F209" s="82"/>
      <c r="G209" s="83"/>
      <c r="H209" s="84"/>
      <c r="I209" s="85"/>
      <c r="J209" s="85"/>
      <c r="K209" s="85"/>
      <c r="L209" s="85"/>
      <c r="M209" s="93" t="e">
        <f>#REF!&amp;" "&amp;ContractorPayroll[[#This Row],[Employee ID Number / Code]]</f>
        <v>#REF!</v>
      </c>
      <c r="N209" s="71" t="str">
        <f>_xlfn.IFNA(IF(C209="","",VLOOKUP(ContractorPayroll[[#This Row],[Position / Title]],Lists!I:K,3,FALSE)),"")</f>
        <v/>
      </c>
      <c r="O209" s="42" t="str">
        <f>IF(ContractorPayroll[[#This Row],[Position / Title]]="","",VLOOKUP(ContractorPayroll[[#This Row],[Position / Title]],Lists!I:K,2,FALSE))</f>
        <v/>
      </c>
      <c r="P209" s="22" t="str">
        <f>IF(D209="","",ContractorPayroll[[#This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0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0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09" s="31">
        <f>IFERROR(IF(ContractorPayroll[[#This Row],[Annual Cost of Wage Increase included in Rate Adjustment]]=0,0,R209*'Facility Info Input'!$F$10),0)</f>
        <v>0</v>
      </c>
      <c r="T209" s="32">
        <f t="shared" si="12"/>
        <v>0</v>
      </c>
      <c r="U209" s="32">
        <f t="shared" si="13"/>
        <v>0</v>
      </c>
      <c r="V209" s="32">
        <f t="shared" si="14"/>
        <v>0</v>
      </c>
      <c r="W209" s="32">
        <f t="shared" si="15"/>
        <v>0</v>
      </c>
    </row>
    <row r="210" spans="1:23">
      <c r="A210" s="77"/>
      <c r="B210" s="76"/>
      <c r="C210" s="77"/>
      <c r="D210" s="81"/>
      <c r="E210" s="82"/>
      <c r="F210" s="82"/>
      <c r="G210" s="83"/>
      <c r="H210" s="84"/>
      <c r="I210" s="85"/>
      <c r="J210" s="85"/>
      <c r="K210" s="85"/>
      <c r="L210" s="85"/>
      <c r="M210" s="93" t="e">
        <f>#REF!&amp;" "&amp;ContractorPayroll[[#This Row],[Employee ID Number / Code]]</f>
        <v>#REF!</v>
      </c>
      <c r="N210" s="71" t="str">
        <f>_xlfn.IFNA(IF(C210="","",VLOOKUP(ContractorPayroll[[#This Row],[Position / Title]],Lists!I:K,3,FALSE)),"")</f>
        <v/>
      </c>
      <c r="O210" s="42" t="str">
        <f>IF(ContractorPayroll[[#This Row],[Position / Title]]="","",VLOOKUP(ContractorPayroll[[#This Row],[Position / Title]],Lists!I:K,2,FALSE))</f>
        <v/>
      </c>
      <c r="P210" s="22" t="str">
        <f>IF(D210="","",ContractorPayroll[[#This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0" s="31">
        <f>IFERROR(IF(ContractorPayroll[[#This Row],[Annual Cost of Wage Increase included in Rate Adjustment]]=0,0,R210*'Facility Info Input'!$F$10),0)</f>
        <v>0</v>
      </c>
      <c r="T210" s="32">
        <f t="shared" si="12"/>
        <v>0</v>
      </c>
      <c r="U210" s="32">
        <f t="shared" si="13"/>
        <v>0</v>
      </c>
      <c r="V210" s="32">
        <f t="shared" si="14"/>
        <v>0</v>
      </c>
      <c r="W210" s="32">
        <f t="shared" si="15"/>
        <v>0</v>
      </c>
    </row>
    <row r="211" spans="1:23">
      <c r="A211" s="77"/>
      <c r="B211" s="76"/>
      <c r="C211" s="77"/>
      <c r="D211" s="81"/>
      <c r="E211" s="82"/>
      <c r="F211" s="82"/>
      <c r="G211" s="83"/>
      <c r="H211" s="84"/>
      <c r="I211" s="85"/>
      <c r="J211" s="85"/>
      <c r="K211" s="85"/>
      <c r="L211" s="85"/>
      <c r="M211" s="93" t="e">
        <f>#REF!&amp;" "&amp;ContractorPayroll[[#This Row],[Employee ID Number / Code]]</f>
        <v>#REF!</v>
      </c>
      <c r="N211" s="71" t="str">
        <f>_xlfn.IFNA(IF(C211="","",VLOOKUP(ContractorPayroll[[#This Row],[Position / Title]],Lists!I:K,3,FALSE)),"")</f>
        <v/>
      </c>
      <c r="O211" s="42" t="str">
        <f>IF(ContractorPayroll[[#This Row],[Position / Title]]="","",VLOOKUP(ContractorPayroll[[#This Row],[Position / Title]],Lists!I:K,2,FALSE))</f>
        <v/>
      </c>
      <c r="P211" s="22" t="str">
        <f>IF(D211="","",ContractorPayroll[[#This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1" s="31">
        <f>IFERROR(IF(ContractorPayroll[[#This Row],[Annual Cost of Wage Increase included in Rate Adjustment]]=0,0,R211*'Facility Info Input'!$F$10),0)</f>
        <v>0</v>
      </c>
      <c r="T211" s="32">
        <f t="shared" si="12"/>
        <v>0</v>
      </c>
      <c r="U211" s="32">
        <f t="shared" si="13"/>
        <v>0</v>
      </c>
      <c r="V211" s="32">
        <f t="shared" si="14"/>
        <v>0</v>
      </c>
      <c r="W211" s="32">
        <f t="shared" si="15"/>
        <v>0</v>
      </c>
    </row>
    <row r="212" spans="1:23">
      <c r="A212" s="77"/>
      <c r="B212" s="76"/>
      <c r="C212" s="77"/>
      <c r="D212" s="81"/>
      <c r="E212" s="82"/>
      <c r="F212" s="82"/>
      <c r="G212" s="83"/>
      <c r="H212" s="84"/>
      <c r="I212" s="85"/>
      <c r="J212" s="85"/>
      <c r="K212" s="85"/>
      <c r="L212" s="85"/>
      <c r="M212" s="93" t="e">
        <f>#REF!&amp;" "&amp;ContractorPayroll[[#This Row],[Employee ID Number / Code]]</f>
        <v>#REF!</v>
      </c>
      <c r="N212" s="71" t="str">
        <f>_xlfn.IFNA(IF(C212="","",VLOOKUP(ContractorPayroll[[#This Row],[Position / Title]],Lists!I:K,3,FALSE)),"")</f>
        <v/>
      </c>
      <c r="O212" s="42" t="str">
        <f>IF(ContractorPayroll[[#This Row],[Position / Title]]="","",VLOOKUP(ContractorPayroll[[#This Row],[Position / Title]],Lists!I:K,2,FALSE))</f>
        <v/>
      </c>
      <c r="P212" s="22" t="str">
        <f>IF(D212="","",ContractorPayroll[[#This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2" s="31">
        <f>IFERROR(IF(ContractorPayroll[[#This Row],[Annual Cost of Wage Increase included in Rate Adjustment]]=0,0,R212*'Facility Info Input'!$F$10),0)</f>
        <v>0</v>
      </c>
      <c r="T212" s="32">
        <f t="shared" si="12"/>
        <v>0</v>
      </c>
      <c r="U212" s="32">
        <f t="shared" si="13"/>
        <v>0</v>
      </c>
      <c r="V212" s="32">
        <f t="shared" si="14"/>
        <v>0</v>
      </c>
      <c r="W212" s="32">
        <f t="shared" si="15"/>
        <v>0</v>
      </c>
    </row>
    <row r="213" spans="1:23">
      <c r="A213" s="77"/>
      <c r="B213" s="76"/>
      <c r="C213" s="77"/>
      <c r="D213" s="81"/>
      <c r="E213" s="82"/>
      <c r="F213" s="82"/>
      <c r="G213" s="83"/>
      <c r="H213" s="84"/>
      <c r="I213" s="85"/>
      <c r="J213" s="85"/>
      <c r="K213" s="85"/>
      <c r="L213" s="85"/>
      <c r="M213" s="93" t="e">
        <f>#REF!&amp;" "&amp;ContractorPayroll[[#This Row],[Employee ID Number / Code]]</f>
        <v>#REF!</v>
      </c>
      <c r="N213" s="71" t="str">
        <f>_xlfn.IFNA(IF(C213="","",VLOOKUP(ContractorPayroll[[#This Row],[Position / Title]],Lists!I:K,3,FALSE)),"")</f>
        <v/>
      </c>
      <c r="O213" s="42" t="str">
        <f>IF(ContractorPayroll[[#This Row],[Position / Title]]="","",VLOOKUP(ContractorPayroll[[#This Row],[Position / Title]],Lists!I:K,2,FALSE))</f>
        <v/>
      </c>
      <c r="P213" s="22" t="str">
        <f>IF(D213="","",ContractorPayroll[[#This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3" s="31">
        <f>IFERROR(IF(ContractorPayroll[[#This Row],[Annual Cost of Wage Increase included in Rate Adjustment]]=0,0,R213*'Facility Info Input'!$F$10),0)</f>
        <v>0</v>
      </c>
      <c r="T213" s="32">
        <f t="shared" si="12"/>
        <v>0</v>
      </c>
      <c r="U213" s="32">
        <f t="shared" si="13"/>
        <v>0</v>
      </c>
      <c r="V213" s="32">
        <f t="shared" si="14"/>
        <v>0</v>
      </c>
      <c r="W213" s="32">
        <f t="shared" si="15"/>
        <v>0</v>
      </c>
    </row>
    <row r="214" spans="1:23">
      <c r="A214" s="77"/>
      <c r="B214" s="76"/>
      <c r="C214" s="77"/>
      <c r="D214" s="81"/>
      <c r="E214" s="82"/>
      <c r="F214" s="82"/>
      <c r="G214" s="83"/>
      <c r="H214" s="84"/>
      <c r="I214" s="85"/>
      <c r="J214" s="85"/>
      <c r="K214" s="85"/>
      <c r="L214" s="85"/>
      <c r="M214" s="93" t="e">
        <f>#REF!&amp;" "&amp;ContractorPayroll[[#This Row],[Employee ID Number / Code]]</f>
        <v>#REF!</v>
      </c>
      <c r="N214" s="71" t="str">
        <f>_xlfn.IFNA(IF(C214="","",VLOOKUP(ContractorPayroll[[#This Row],[Position / Title]],Lists!I:K,3,FALSE)),"")</f>
        <v/>
      </c>
      <c r="O214" s="42" t="str">
        <f>IF(ContractorPayroll[[#This Row],[Position / Title]]="","",VLOOKUP(ContractorPayroll[[#This Row],[Position / Title]],Lists!I:K,2,FALSE))</f>
        <v/>
      </c>
      <c r="P214" s="22" t="str">
        <f>IF(D214="","",ContractorPayroll[[#This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4" s="31">
        <f>IFERROR(IF(ContractorPayroll[[#This Row],[Annual Cost of Wage Increase included in Rate Adjustment]]=0,0,R214*'Facility Info Input'!$F$10),0)</f>
        <v>0</v>
      </c>
      <c r="T214" s="32">
        <f t="shared" si="12"/>
        <v>0</v>
      </c>
      <c r="U214" s="32">
        <f t="shared" si="13"/>
        <v>0</v>
      </c>
      <c r="V214" s="32">
        <f t="shared" si="14"/>
        <v>0</v>
      </c>
      <c r="W214" s="32">
        <f t="shared" si="15"/>
        <v>0</v>
      </c>
    </row>
    <row r="215" spans="1:23">
      <c r="A215" s="77"/>
      <c r="B215" s="76"/>
      <c r="C215" s="77"/>
      <c r="D215" s="81"/>
      <c r="E215" s="82"/>
      <c r="F215" s="82"/>
      <c r="G215" s="83"/>
      <c r="H215" s="84"/>
      <c r="I215" s="85"/>
      <c r="J215" s="85"/>
      <c r="K215" s="85"/>
      <c r="L215" s="85"/>
      <c r="M215" s="93" t="e">
        <f>#REF!&amp;" "&amp;ContractorPayroll[[#This Row],[Employee ID Number / Code]]</f>
        <v>#REF!</v>
      </c>
      <c r="N215" s="71" t="str">
        <f>_xlfn.IFNA(IF(C215="","",VLOOKUP(ContractorPayroll[[#This Row],[Position / Title]],Lists!I:K,3,FALSE)),"")</f>
        <v/>
      </c>
      <c r="O215" s="42" t="str">
        <f>IF(ContractorPayroll[[#This Row],[Position / Title]]="","",VLOOKUP(ContractorPayroll[[#This Row],[Position / Title]],Lists!I:K,2,FALSE))</f>
        <v/>
      </c>
      <c r="P215" s="22" t="str">
        <f>IF(D215="","",ContractorPayroll[[#This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5" s="31">
        <f>IFERROR(IF(ContractorPayroll[[#This Row],[Annual Cost of Wage Increase included in Rate Adjustment]]=0,0,R215*'Facility Info Input'!$F$10),0)</f>
        <v>0</v>
      </c>
      <c r="T215" s="32">
        <f t="shared" si="12"/>
        <v>0</v>
      </c>
      <c r="U215" s="32">
        <f t="shared" si="13"/>
        <v>0</v>
      </c>
      <c r="V215" s="32">
        <f t="shared" si="14"/>
        <v>0</v>
      </c>
      <c r="W215" s="32">
        <f t="shared" si="15"/>
        <v>0</v>
      </c>
    </row>
    <row r="216" spans="1:23">
      <c r="A216" s="77"/>
      <c r="B216" s="76"/>
      <c r="C216" s="77"/>
      <c r="D216" s="81"/>
      <c r="E216" s="82"/>
      <c r="F216" s="82"/>
      <c r="G216" s="83"/>
      <c r="H216" s="84"/>
      <c r="I216" s="85"/>
      <c r="J216" s="85"/>
      <c r="K216" s="85"/>
      <c r="L216" s="85"/>
      <c r="M216" s="93" t="e">
        <f>#REF!&amp;" "&amp;ContractorPayroll[[#This Row],[Employee ID Number / Code]]</f>
        <v>#REF!</v>
      </c>
      <c r="N216" s="71" t="str">
        <f>_xlfn.IFNA(IF(C216="","",VLOOKUP(ContractorPayroll[[#This Row],[Position / Title]],Lists!I:K,3,FALSE)),"")</f>
        <v/>
      </c>
      <c r="O216" s="42" t="str">
        <f>IF(ContractorPayroll[[#This Row],[Position / Title]]="","",VLOOKUP(ContractorPayroll[[#This Row],[Position / Title]],Lists!I:K,2,FALSE))</f>
        <v/>
      </c>
      <c r="P216" s="22" t="str">
        <f>IF(D216="","",ContractorPayroll[[#This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6" s="31">
        <f>IFERROR(IF(ContractorPayroll[[#This Row],[Annual Cost of Wage Increase included in Rate Adjustment]]=0,0,R216*'Facility Info Input'!$F$10),0)</f>
        <v>0</v>
      </c>
      <c r="T216" s="32">
        <f t="shared" si="12"/>
        <v>0</v>
      </c>
      <c r="U216" s="32">
        <f t="shared" si="13"/>
        <v>0</v>
      </c>
      <c r="V216" s="32">
        <f t="shared" si="14"/>
        <v>0</v>
      </c>
      <c r="W216" s="32">
        <f t="shared" si="15"/>
        <v>0</v>
      </c>
    </row>
    <row r="217" spans="1:23">
      <c r="A217" s="77"/>
      <c r="B217" s="76"/>
      <c r="C217" s="77"/>
      <c r="D217" s="81"/>
      <c r="E217" s="82"/>
      <c r="F217" s="82"/>
      <c r="G217" s="83"/>
      <c r="H217" s="84"/>
      <c r="I217" s="85"/>
      <c r="J217" s="85"/>
      <c r="K217" s="85"/>
      <c r="L217" s="85"/>
      <c r="M217" s="93" t="e">
        <f>#REF!&amp;" "&amp;ContractorPayroll[[#This Row],[Employee ID Number / Code]]</f>
        <v>#REF!</v>
      </c>
      <c r="N217" s="71" t="str">
        <f>_xlfn.IFNA(IF(C217="","",VLOOKUP(ContractorPayroll[[#This Row],[Position / Title]],Lists!I:K,3,FALSE)),"")</f>
        <v/>
      </c>
      <c r="O217" s="42" t="str">
        <f>IF(ContractorPayroll[[#This Row],[Position / Title]]="","",VLOOKUP(ContractorPayroll[[#This Row],[Position / Title]],Lists!I:K,2,FALSE))</f>
        <v/>
      </c>
      <c r="P217" s="22" t="str">
        <f>IF(D217="","",ContractorPayroll[[#This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7" s="31">
        <f>IFERROR(IF(ContractorPayroll[[#This Row],[Annual Cost of Wage Increase included in Rate Adjustment]]=0,0,R217*'Facility Info Input'!$F$10),0)</f>
        <v>0</v>
      </c>
      <c r="T217" s="32">
        <f t="shared" si="12"/>
        <v>0</v>
      </c>
      <c r="U217" s="32">
        <f t="shared" si="13"/>
        <v>0</v>
      </c>
      <c r="V217" s="32">
        <f t="shared" si="14"/>
        <v>0</v>
      </c>
      <c r="W217" s="32">
        <f t="shared" si="15"/>
        <v>0</v>
      </c>
    </row>
    <row r="218" spans="1:23">
      <c r="A218" s="77"/>
      <c r="B218" s="76"/>
      <c r="C218" s="77"/>
      <c r="D218" s="81"/>
      <c r="E218" s="82"/>
      <c r="F218" s="82"/>
      <c r="G218" s="83"/>
      <c r="H218" s="84"/>
      <c r="I218" s="85"/>
      <c r="J218" s="85"/>
      <c r="K218" s="85"/>
      <c r="L218" s="85"/>
      <c r="M218" s="93" t="e">
        <f>#REF!&amp;" "&amp;ContractorPayroll[[#This Row],[Employee ID Number / Code]]</f>
        <v>#REF!</v>
      </c>
      <c r="N218" s="71" t="str">
        <f>_xlfn.IFNA(IF(C218="","",VLOOKUP(ContractorPayroll[[#This Row],[Position / Title]],Lists!I:K,3,FALSE)),"")</f>
        <v/>
      </c>
      <c r="O218" s="42" t="str">
        <f>IF(ContractorPayroll[[#This Row],[Position / Title]]="","",VLOOKUP(ContractorPayroll[[#This Row],[Position / Title]],Lists!I:K,2,FALSE))</f>
        <v/>
      </c>
      <c r="P218" s="22" t="str">
        <f>IF(D218="","",ContractorPayroll[[#This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8" s="31">
        <f>IFERROR(IF(ContractorPayroll[[#This Row],[Annual Cost of Wage Increase included in Rate Adjustment]]=0,0,R218*'Facility Info Input'!$F$10),0)</f>
        <v>0</v>
      </c>
      <c r="T218" s="32">
        <f t="shared" si="12"/>
        <v>0</v>
      </c>
      <c r="U218" s="32">
        <f t="shared" si="13"/>
        <v>0</v>
      </c>
      <c r="V218" s="32">
        <f t="shared" si="14"/>
        <v>0</v>
      </c>
      <c r="W218" s="32">
        <f t="shared" si="15"/>
        <v>0</v>
      </c>
    </row>
    <row r="219" spans="1:23">
      <c r="A219" s="77"/>
      <c r="B219" s="76"/>
      <c r="C219" s="77"/>
      <c r="D219" s="81"/>
      <c r="E219" s="82"/>
      <c r="F219" s="82"/>
      <c r="G219" s="83"/>
      <c r="H219" s="84"/>
      <c r="I219" s="85"/>
      <c r="J219" s="85"/>
      <c r="K219" s="85"/>
      <c r="L219" s="85"/>
      <c r="M219" s="93" t="e">
        <f>#REF!&amp;" "&amp;ContractorPayroll[[#This Row],[Employee ID Number / Code]]</f>
        <v>#REF!</v>
      </c>
      <c r="N219" s="71" t="str">
        <f>_xlfn.IFNA(IF(C219="","",VLOOKUP(ContractorPayroll[[#This Row],[Position / Title]],Lists!I:K,3,FALSE)),"")</f>
        <v/>
      </c>
      <c r="O219" s="42" t="str">
        <f>IF(ContractorPayroll[[#This Row],[Position / Title]]="","",VLOOKUP(ContractorPayroll[[#This Row],[Position / Title]],Lists!I:K,2,FALSE))</f>
        <v/>
      </c>
      <c r="P219" s="22" t="str">
        <f>IF(D219="","",ContractorPayroll[[#This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1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1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19" s="31">
        <f>IFERROR(IF(ContractorPayroll[[#This Row],[Annual Cost of Wage Increase included in Rate Adjustment]]=0,0,R219*'Facility Info Input'!$F$10),0)</f>
        <v>0</v>
      </c>
      <c r="T219" s="32">
        <f t="shared" si="12"/>
        <v>0</v>
      </c>
      <c r="U219" s="32">
        <f t="shared" si="13"/>
        <v>0</v>
      </c>
      <c r="V219" s="32">
        <f t="shared" si="14"/>
        <v>0</v>
      </c>
      <c r="W219" s="32">
        <f t="shared" si="15"/>
        <v>0</v>
      </c>
    </row>
    <row r="220" spans="1:23">
      <c r="A220" s="77"/>
      <c r="B220" s="76"/>
      <c r="C220" s="77"/>
      <c r="D220" s="81"/>
      <c r="E220" s="82"/>
      <c r="F220" s="82"/>
      <c r="G220" s="83"/>
      <c r="H220" s="84"/>
      <c r="I220" s="85"/>
      <c r="J220" s="85"/>
      <c r="K220" s="85"/>
      <c r="L220" s="85"/>
      <c r="M220" s="93" t="e">
        <f>#REF!&amp;" "&amp;ContractorPayroll[[#This Row],[Employee ID Number / Code]]</f>
        <v>#REF!</v>
      </c>
      <c r="N220" s="71" t="str">
        <f>_xlfn.IFNA(IF(C220="","",VLOOKUP(ContractorPayroll[[#This Row],[Position / Title]],Lists!I:K,3,FALSE)),"")</f>
        <v/>
      </c>
      <c r="O220" s="42" t="str">
        <f>IF(ContractorPayroll[[#This Row],[Position / Title]]="","",VLOOKUP(ContractorPayroll[[#This Row],[Position / Title]],Lists!I:K,2,FALSE))</f>
        <v/>
      </c>
      <c r="P220" s="22" t="str">
        <f>IF(D220="","",ContractorPayroll[[#This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0" s="31">
        <f>IFERROR(IF(ContractorPayroll[[#This Row],[Annual Cost of Wage Increase included in Rate Adjustment]]=0,0,R220*'Facility Info Input'!$F$10),0)</f>
        <v>0</v>
      </c>
      <c r="T220" s="32">
        <f t="shared" si="12"/>
        <v>0</v>
      </c>
      <c r="U220" s="32">
        <f t="shared" si="13"/>
        <v>0</v>
      </c>
      <c r="V220" s="32">
        <f t="shared" si="14"/>
        <v>0</v>
      </c>
      <c r="W220" s="32">
        <f t="shared" si="15"/>
        <v>0</v>
      </c>
    </row>
    <row r="221" spans="1:23">
      <c r="A221" s="77"/>
      <c r="B221" s="76"/>
      <c r="C221" s="77"/>
      <c r="D221" s="81"/>
      <c r="E221" s="82"/>
      <c r="F221" s="82"/>
      <c r="G221" s="83"/>
      <c r="H221" s="84"/>
      <c r="I221" s="85"/>
      <c r="J221" s="85"/>
      <c r="K221" s="85"/>
      <c r="L221" s="85"/>
      <c r="M221" s="93" t="e">
        <f>#REF!&amp;" "&amp;ContractorPayroll[[#This Row],[Employee ID Number / Code]]</f>
        <v>#REF!</v>
      </c>
      <c r="N221" s="71" t="str">
        <f>_xlfn.IFNA(IF(C221="","",VLOOKUP(ContractorPayroll[[#This Row],[Position / Title]],Lists!I:K,3,FALSE)),"")</f>
        <v/>
      </c>
      <c r="O221" s="42" t="str">
        <f>IF(ContractorPayroll[[#This Row],[Position / Title]]="","",VLOOKUP(ContractorPayroll[[#This Row],[Position / Title]],Lists!I:K,2,FALSE))</f>
        <v/>
      </c>
      <c r="P221" s="22" t="str">
        <f>IF(D221="","",ContractorPayroll[[#This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1" s="31">
        <f>IFERROR(IF(ContractorPayroll[[#This Row],[Annual Cost of Wage Increase included in Rate Adjustment]]=0,0,R221*'Facility Info Input'!$F$10),0)</f>
        <v>0</v>
      </c>
      <c r="T221" s="32">
        <f t="shared" si="12"/>
        <v>0</v>
      </c>
      <c r="U221" s="32">
        <f t="shared" si="13"/>
        <v>0</v>
      </c>
      <c r="V221" s="32">
        <f t="shared" si="14"/>
        <v>0</v>
      </c>
      <c r="W221" s="32">
        <f t="shared" si="15"/>
        <v>0</v>
      </c>
    </row>
    <row r="222" spans="1:23">
      <c r="A222" s="77"/>
      <c r="B222" s="76"/>
      <c r="C222" s="77"/>
      <c r="D222" s="81"/>
      <c r="E222" s="82"/>
      <c r="F222" s="82"/>
      <c r="G222" s="83"/>
      <c r="H222" s="84"/>
      <c r="I222" s="85"/>
      <c r="J222" s="85"/>
      <c r="K222" s="85"/>
      <c r="L222" s="85"/>
      <c r="M222" s="93" t="e">
        <f>#REF!&amp;" "&amp;ContractorPayroll[[#This Row],[Employee ID Number / Code]]</f>
        <v>#REF!</v>
      </c>
      <c r="N222" s="71" t="str">
        <f>_xlfn.IFNA(IF(C222="","",VLOOKUP(ContractorPayroll[[#This Row],[Position / Title]],Lists!I:K,3,FALSE)),"")</f>
        <v/>
      </c>
      <c r="O222" s="42" t="str">
        <f>IF(ContractorPayroll[[#This Row],[Position / Title]]="","",VLOOKUP(ContractorPayroll[[#This Row],[Position / Title]],Lists!I:K,2,FALSE))</f>
        <v/>
      </c>
      <c r="P222" s="22" t="str">
        <f>IF(D222="","",ContractorPayroll[[#This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2" s="31">
        <f>IFERROR(IF(ContractorPayroll[[#This Row],[Annual Cost of Wage Increase included in Rate Adjustment]]=0,0,R222*'Facility Info Input'!$F$10),0)</f>
        <v>0</v>
      </c>
      <c r="T222" s="32">
        <f t="shared" si="12"/>
        <v>0</v>
      </c>
      <c r="U222" s="32">
        <f t="shared" si="13"/>
        <v>0</v>
      </c>
      <c r="V222" s="32">
        <f t="shared" si="14"/>
        <v>0</v>
      </c>
      <c r="W222" s="32">
        <f t="shared" si="15"/>
        <v>0</v>
      </c>
    </row>
    <row r="223" spans="1:23">
      <c r="A223" s="77"/>
      <c r="B223" s="76"/>
      <c r="C223" s="77"/>
      <c r="D223" s="81"/>
      <c r="E223" s="82"/>
      <c r="F223" s="82"/>
      <c r="G223" s="83"/>
      <c r="H223" s="84"/>
      <c r="I223" s="85"/>
      <c r="J223" s="85"/>
      <c r="K223" s="85"/>
      <c r="L223" s="85"/>
      <c r="M223" s="93" t="e">
        <f>#REF!&amp;" "&amp;ContractorPayroll[[#This Row],[Employee ID Number / Code]]</f>
        <v>#REF!</v>
      </c>
      <c r="N223" s="71" t="str">
        <f>_xlfn.IFNA(IF(C223="","",VLOOKUP(ContractorPayroll[[#This Row],[Position / Title]],Lists!I:K,3,FALSE)),"")</f>
        <v/>
      </c>
      <c r="O223" s="42" t="str">
        <f>IF(ContractorPayroll[[#This Row],[Position / Title]]="","",VLOOKUP(ContractorPayroll[[#This Row],[Position / Title]],Lists!I:K,2,FALSE))</f>
        <v/>
      </c>
      <c r="P223" s="22" t="str">
        <f>IF(D223="","",ContractorPayroll[[#This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3" s="31">
        <f>IFERROR(IF(ContractorPayroll[[#This Row],[Annual Cost of Wage Increase included in Rate Adjustment]]=0,0,R223*'Facility Info Input'!$F$10),0)</f>
        <v>0</v>
      </c>
      <c r="T223" s="32">
        <f t="shared" si="12"/>
        <v>0</v>
      </c>
      <c r="U223" s="32">
        <f t="shared" si="13"/>
        <v>0</v>
      </c>
      <c r="V223" s="32">
        <f t="shared" si="14"/>
        <v>0</v>
      </c>
      <c r="W223" s="32">
        <f t="shared" si="15"/>
        <v>0</v>
      </c>
    </row>
    <row r="224" spans="1:23">
      <c r="A224" s="77"/>
      <c r="B224" s="76"/>
      <c r="C224" s="77"/>
      <c r="D224" s="81"/>
      <c r="E224" s="82"/>
      <c r="F224" s="82"/>
      <c r="G224" s="83"/>
      <c r="H224" s="84"/>
      <c r="I224" s="85"/>
      <c r="J224" s="85"/>
      <c r="K224" s="85"/>
      <c r="L224" s="85"/>
      <c r="M224" s="93" t="e">
        <f>#REF!&amp;" "&amp;ContractorPayroll[[#This Row],[Employee ID Number / Code]]</f>
        <v>#REF!</v>
      </c>
      <c r="N224" s="71" t="str">
        <f>_xlfn.IFNA(IF(C224="","",VLOOKUP(ContractorPayroll[[#This Row],[Position / Title]],Lists!I:K,3,FALSE)),"")</f>
        <v/>
      </c>
      <c r="O224" s="42" t="str">
        <f>IF(ContractorPayroll[[#This Row],[Position / Title]]="","",VLOOKUP(ContractorPayroll[[#This Row],[Position / Title]],Lists!I:K,2,FALSE))</f>
        <v/>
      </c>
      <c r="P224" s="22" t="str">
        <f>IF(D224="","",ContractorPayroll[[#This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4" s="31">
        <f>IFERROR(IF(ContractorPayroll[[#This Row],[Annual Cost of Wage Increase included in Rate Adjustment]]=0,0,R224*'Facility Info Input'!$F$10),0)</f>
        <v>0</v>
      </c>
      <c r="T224" s="32">
        <f t="shared" si="12"/>
        <v>0</v>
      </c>
      <c r="U224" s="32">
        <f t="shared" si="13"/>
        <v>0</v>
      </c>
      <c r="V224" s="32">
        <f t="shared" si="14"/>
        <v>0</v>
      </c>
      <c r="W224" s="32">
        <f t="shared" si="15"/>
        <v>0</v>
      </c>
    </row>
    <row r="225" spans="1:23">
      <c r="A225" s="77"/>
      <c r="B225" s="76"/>
      <c r="C225" s="77"/>
      <c r="D225" s="81"/>
      <c r="E225" s="82"/>
      <c r="F225" s="82"/>
      <c r="G225" s="83"/>
      <c r="H225" s="84"/>
      <c r="I225" s="85"/>
      <c r="J225" s="85"/>
      <c r="K225" s="85"/>
      <c r="L225" s="85"/>
      <c r="M225" s="93" t="e">
        <f>#REF!&amp;" "&amp;ContractorPayroll[[#This Row],[Employee ID Number / Code]]</f>
        <v>#REF!</v>
      </c>
      <c r="N225" s="71" t="str">
        <f>_xlfn.IFNA(IF(C225="","",VLOOKUP(ContractorPayroll[[#This Row],[Position / Title]],Lists!I:K,3,FALSE)),"")</f>
        <v/>
      </c>
      <c r="O225" s="42" t="str">
        <f>IF(ContractorPayroll[[#This Row],[Position / Title]]="","",VLOOKUP(ContractorPayroll[[#This Row],[Position / Title]],Lists!I:K,2,FALSE))</f>
        <v/>
      </c>
      <c r="P225" s="22" t="str">
        <f>IF(D225="","",ContractorPayroll[[#This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5" s="31">
        <f>IFERROR(IF(ContractorPayroll[[#This Row],[Annual Cost of Wage Increase included in Rate Adjustment]]=0,0,R225*'Facility Info Input'!$F$10),0)</f>
        <v>0</v>
      </c>
      <c r="T225" s="32">
        <f t="shared" si="12"/>
        <v>0</v>
      </c>
      <c r="U225" s="32">
        <f t="shared" si="13"/>
        <v>0</v>
      </c>
      <c r="V225" s="32">
        <f t="shared" si="14"/>
        <v>0</v>
      </c>
      <c r="W225" s="32">
        <f t="shared" si="15"/>
        <v>0</v>
      </c>
    </row>
    <row r="226" spans="1:23">
      <c r="A226" s="77"/>
      <c r="B226" s="76"/>
      <c r="C226" s="77"/>
      <c r="D226" s="81"/>
      <c r="E226" s="82"/>
      <c r="F226" s="82"/>
      <c r="G226" s="83"/>
      <c r="H226" s="84"/>
      <c r="I226" s="85"/>
      <c r="J226" s="85"/>
      <c r="K226" s="85"/>
      <c r="L226" s="85"/>
      <c r="M226" s="93" t="e">
        <f>#REF!&amp;" "&amp;ContractorPayroll[[#This Row],[Employee ID Number / Code]]</f>
        <v>#REF!</v>
      </c>
      <c r="N226" s="71" t="str">
        <f>_xlfn.IFNA(IF(C226="","",VLOOKUP(ContractorPayroll[[#This Row],[Position / Title]],Lists!I:K,3,FALSE)),"")</f>
        <v/>
      </c>
      <c r="O226" s="42" t="str">
        <f>IF(ContractorPayroll[[#This Row],[Position / Title]]="","",VLOOKUP(ContractorPayroll[[#This Row],[Position / Title]],Lists!I:K,2,FALSE))</f>
        <v/>
      </c>
      <c r="P226" s="22" t="str">
        <f>IF(D226="","",ContractorPayroll[[#This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6" s="31">
        <f>IFERROR(IF(ContractorPayroll[[#This Row],[Annual Cost of Wage Increase included in Rate Adjustment]]=0,0,R226*'Facility Info Input'!$F$10),0)</f>
        <v>0</v>
      </c>
      <c r="T226" s="32">
        <f t="shared" si="12"/>
        <v>0</v>
      </c>
      <c r="U226" s="32">
        <f t="shared" si="13"/>
        <v>0</v>
      </c>
      <c r="V226" s="32">
        <f t="shared" si="14"/>
        <v>0</v>
      </c>
      <c r="W226" s="32">
        <f t="shared" si="15"/>
        <v>0</v>
      </c>
    </row>
    <row r="227" spans="1:23">
      <c r="A227" s="77"/>
      <c r="B227" s="76"/>
      <c r="C227" s="77"/>
      <c r="D227" s="81"/>
      <c r="E227" s="82"/>
      <c r="F227" s="82"/>
      <c r="G227" s="83"/>
      <c r="H227" s="84"/>
      <c r="I227" s="85"/>
      <c r="J227" s="85"/>
      <c r="K227" s="85"/>
      <c r="L227" s="85"/>
      <c r="M227" s="93" t="e">
        <f>#REF!&amp;" "&amp;ContractorPayroll[[#This Row],[Employee ID Number / Code]]</f>
        <v>#REF!</v>
      </c>
      <c r="N227" s="71" t="str">
        <f>_xlfn.IFNA(IF(C227="","",VLOOKUP(ContractorPayroll[[#This Row],[Position / Title]],Lists!I:K,3,FALSE)),"")</f>
        <v/>
      </c>
      <c r="O227" s="42" t="str">
        <f>IF(ContractorPayroll[[#This Row],[Position / Title]]="","",VLOOKUP(ContractorPayroll[[#This Row],[Position / Title]],Lists!I:K,2,FALSE))</f>
        <v/>
      </c>
      <c r="P227" s="22" t="str">
        <f>IF(D227="","",ContractorPayroll[[#This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7" s="31">
        <f>IFERROR(IF(ContractorPayroll[[#This Row],[Annual Cost of Wage Increase included in Rate Adjustment]]=0,0,R227*'Facility Info Input'!$F$10),0)</f>
        <v>0</v>
      </c>
      <c r="T227" s="32">
        <f t="shared" si="12"/>
        <v>0</v>
      </c>
      <c r="U227" s="32">
        <f t="shared" si="13"/>
        <v>0</v>
      </c>
      <c r="V227" s="32">
        <f t="shared" si="14"/>
        <v>0</v>
      </c>
      <c r="W227" s="32">
        <f t="shared" si="15"/>
        <v>0</v>
      </c>
    </row>
    <row r="228" spans="1:23">
      <c r="A228" s="77"/>
      <c r="B228" s="76"/>
      <c r="C228" s="77"/>
      <c r="D228" s="81"/>
      <c r="E228" s="82"/>
      <c r="F228" s="82"/>
      <c r="G228" s="83"/>
      <c r="H228" s="84"/>
      <c r="I228" s="85"/>
      <c r="J228" s="85"/>
      <c r="K228" s="85"/>
      <c r="L228" s="85"/>
      <c r="M228" s="93" t="e">
        <f>#REF!&amp;" "&amp;ContractorPayroll[[#This Row],[Employee ID Number / Code]]</f>
        <v>#REF!</v>
      </c>
      <c r="N228" s="71" t="str">
        <f>_xlfn.IFNA(IF(C228="","",VLOOKUP(ContractorPayroll[[#This Row],[Position / Title]],Lists!I:K,3,FALSE)),"")</f>
        <v/>
      </c>
      <c r="O228" s="42" t="str">
        <f>IF(ContractorPayroll[[#This Row],[Position / Title]]="","",VLOOKUP(ContractorPayroll[[#This Row],[Position / Title]],Lists!I:K,2,FALSE))</f>
        <v/>
      </c>
      <c r="P228" s="22" t="str">
        <f>IF(D228="","",ContractorPayroll[[#This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8" s="31">
        <f>IFERROR(IF(ContractorPayroll[[#This Row],[Annual Cost of Wage Increase included in Rate Adjustment]]=0,0,R228*'Facility Info Input'!$F$10),0)</f>
        <v>0</v>
      </c>
      <c r="T228" s="32">
        <f t="shared" si="12"/>
        <v>0</v>
      </c>
      <c r="U228" s="32">
        <f t="shared" si="13"/>
        <v>0</v>
      </c>
      <c r="V228" s="32">
        <f t="shared" si="14"/>
        <v>0</v>
      </c>
      <c r="W228" s="32">
        <f t="shared" si="15"/>
        <v>0</v>
      </c>
    </row>
    <row r="229" spans="1:23">
      <c r="A229" s="77"/>
      <c r="B229" s="76"/>
      <c r="C229" s="77"/>
      <c r="D229" s="81"/>
      <c r="E229" s="82"/>
      <c r="F229" s="82"/>
      <c r="G229" s="83"/>
      <c r="H229" s="84"/>
      <c r="I229" s="85"/>
      <c r="J229" s="85"/>
      <c r="K229" s="85"/>
      <c r="L229" s="85"/>
      <c r="M229" s="93" t="e">
        <f>#REF!&amp;" "&amp;ContractorPayroll[[#This Row],[Employee ID Number / Code]]</f>
        <v>#REF!</v>
      </c>
      <c r="N229" s="71" t="str">
        <f>_xlfn.IFNA(IF(C229="","",VLOOKUP(ContractorPayroll[[#This Row],[Position / Title]],Lists!I:K,3,FALSE)),"")</f>
        <v/>
      </c>
      <c r="O229" s="42" t="str">
        <f>IF(ContractorPayroll[[#This Row],[Position / Title]]="","",VLOOKUP(ContractorPayroll[[#This Row],[Position / Title]],Lists!I:K,2,FALSE))</f>
        <v/>
      </c>
      <c r="P229" s="22" t="str">
        <f>IF(D229="","",ContractorPayroll[[#This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2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2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29" s="31">
        <f>IFERROR(IF(ContractorPayroll[[#This Row],[Annual Cost of Wage Increase included in Rate Adjustment]]=0,0,R229*'Facility Info Input'!$F$10),0)</f>
        <v>0</v>
      </c>
      <c r="T229" s="32">
        <f t="shared" si="12"/>
        <v>0</v>
      </c>
      <c r="U229" s="32">
        <f t="shared" si="13"/>
        <v>0</v>
      </c>
      <c r="V229" s="32">
        <f t="shared" si="14"/>
        <v>0</v>
      </c>
      <c r="W229" s="32">
        <f t="shared" si="15"/>
        <v>0</v>
      </c>
    </row>
    <row r="230" spans="1:23">
      <c r="A230" s="77"/>
      <c r="B230" s="76"/>
      <c r="C230" s="77"/>
      <c r="D230" s="81"/>
      <c r="E230" s="82"/>
      <c r="F230" s="82"/>
      <c r="G230" s="83"/>
      <c r="H230" s="84"/>
      <c r="I230" s="85"/>
      <c r="J230" s="85"/>
      <c r="K230" s="85"/>
      <c r="L230" s="85"/>
      <c r="M230" s="93" t="e">
        <f>#REF!&amp;" "&amp;ContractorPayroll[[#This Row],[Employee ID Number / Code]]</f>
        <v>#REF!</v>
      </c>
      <c r="N230" s="71" t="str">
        <f>_xlfn.IFNA(IF(C230="","",VLOOKUP(ContractorPayroll[[#This Row],[Position / Title]],Lists!I:K,3,FALSE)),"")</f>
        <v/>
      </c>
      <c r="O230" s="42" t="str">
        <f>IF(ContractorPayroll[[#This Row],[Position / Title]]="","",VLOOKUP(ContractorPayroll[[#This Row],[Position / Title]],Lists!I:K,2,FALSE))</f>
        <v/>
      </c>
      <c r="P230" s="22" t="str">
        <f>IF(D230="","",ContractorPayroll[[#This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0" s="31">
        <f>IFERROR(IF(ContractorPayroll[[#This Row],[Annual Cost of Wage Increase included in Rate Adjustment]]=0,0,R230*'Facility Info Input'!$F$10),0)</f>
        <v>0</v>
      </c>
      <c r="T230" s="32">
        <f t="shared" si="12"/>
        <v>0</v>
      </c>
      <c r="U230" s="32">
        <f t="shared" si="13"/>
        <v>0</v>
      </c>
      <c r="V230" s="32">
        <f t="shared" si="14"/>
        <v>0</v>
      </c>
      <c r="W230" s="32">
        <f t="shared" si="15"/>
        <v>0</v>
      </c>
    </row>
    <row r="231" spans="1:23">
      <c r="A231" s="77"/>
      <c r="B231" s="76"/>
      <c r="C231" s="77"/>
      <c r="D231" s="81"/>
      <c r="E231" s="82"/>
      <c r="F231" s="82"/>
      <c r="G231" s="83"/>
      <c r="H231" s="84"/>
      <c r="I231" s="85"/>
      <c r="J231" s="85"/>
      <c r="K231" s="85"/>
      <c r="L231" s="85"/>
      <c r="M231" s="93" t="e">
        <f>#REF!&amp;" "&amp;ContractorPayroll[[#This Row],[Employee ID Number / Code]]</f>
        <v>#REF!</v>
      </c>
      <c r="N231" s="71" t="str">
        <f>_xlfn.IFNA(IF(C231="","",VLOOKUP(ContractorPayroll[[#This Row],[Position / Title]],Lists!I:K,3,FALSE)),"")</f>
        <v/>
      </c>
      <c r="O231" s="42" t="str">
        <f>IF(ContractorPayroll[[#This Row],[Position / Title]]="","",VLOOKUP(ContractorPayroll[[#This Row],[Position / Title]],Lists!I:K,2,FALSE))</f>
        <v/>
      </c>
      <c r="P231" s="22" t="str">
        <f>IF(D231="","",ContractorPayroll[[#This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1" s="31">
        <f>IFERROR(IF(ContractorPayroll[[#This Row],[Annual Cost of Wage Increase included in Rate Adjustment]]=0,0,R231*'Facility Info Input'!$F$10),0)</f>
        <v>0</v>
      </c>
      <c r="T231" s="32">
        <f t="shared" si="12"/>
        <v>0</v>
      </c>
      <c r="U231" s="32">
        <f t="shared" si="13"/>
        <v>0</v>
      </c>
      <c r="V231" s="32">
        <f t="shared" si="14"/>
        <v>0</v>
      </c>
      <c r="W231" s="32">
        <f t="shared" si="15"/>
        <v>0</v>
      </c>
    </row>
    <row r="232" spans="1:23">
      <c r="A232" s="77"/>
      <c r="B232" s="76"/>
      <c r="C232" s="77"/>
      <c r="D232" s="81"/>
      <c r="E232" s="82"/>
      <c r="F232" s="82"/>
      <c r="G232" s="83"/>
      <c r="H232" s="84"/>
      <c r="I232" s="85"/>
      <c r="J232" s="85"/>
      <c r="K232" s="85"/>
      <c r="L232" s="85"/>
      <c r="M232" s="93" t="e">
        <f>#REF!&amp;" "&amp;ContractorPayroll[[#This Row],[Employee ID Number / Code]]</f>
        <v>#REF!</v>
      </c>
      <c r="N232" s="71" t="str">
        <f>_xlfn.IFNA(IF(C232="","",VLOOKUP(ContractorPayroll[[#This Row],[Position / Title]],Lists!I:K,3,FALSE)),"")</f>
        <v/>
      </c>
      <c r="O232" s="42" t="str">
        <f>IF(ContractorPayroll[[#This Row],[Position / Title]]="","",VLOOKUP(ContractorPayroll[[#This Row],[Position / Title]],Lists!I:K,2,FALSE))</f>
        <v/>
      </c>
      <c r="P232" s="22" t="str">
        <f>IF(D232="","",ContractorPayroll[[#This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2" s="31">
        <f>IFERROR(IF(ContractorPayroll[[#This Row],[Annual Cost of Wage Increase included in Rate Adjustment]]=0,0,R232*'Facility Info Input'!$F$10),0)</f>
        <v>0</v>
      </c>
      <c r="T232" s="32">
        <f t="shared" si="12"/>
        <v>0</v>
      </c>
      <c r="U232" s="32">
        <f t="shared" si="13"/>
        <v>0</v>
      </c>
      <c r="V232" s="32">
        <f t="shared" si="14"/>
        <v>0</v>
      </c>
      <c r="W232" s="32">
        <f t="shared" si="15"/>
        <v>0</v>
      </c>
    </row>
    <row r="233" spans="1:23">
      <c r="A233" s="77"/>
      <c r="B233" s="76"/>
      <c r="C233" s="77"/>
      <c r="D233" s="81"/>
      <c r="E233" s="82"/>
      <c r="F233" s="82"/>
      <c r="G233" s="83"/>
      <c r="H233" s="84"/>
      <c r="I233" s="85"/>
      <c r="J233" s="85"/>
      <c r="K233" s="85"/>
      <c r="L233" s="85"/>
      <c r="M233" s="93" t="e">
        <f>#REF!&amp;" "&amp;ContractorPayroll[[#This Row],[Employee ID Number / Code]]</f>
        <v>#REF!</v>
      </c>
      <c r="N233" s="71" t="str">
        <f>_xlfn.IFNA(IF(C233="","",VLOOKUP(ContractorPayroll[[#This Row],[Position / Title]],Lists!I:K,3,FALSE)),"")</f>
        <v/>
      </c>
      <c r="O233" s="42" t="str">
        <f>IF(ContractorPayroll[[#This Row],[Position / Title]]="","",VLOOKUP(ContractorPayroll[[#This Row],[Position / Title]],Lists!I:K,2,FALSE))</f>
        <v/>
      </c>
      <c r="P233" s="22" t="str">
        <f>IF(D233="","",ContractorPayroll[[#This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3" s="31">
        <f>IFERROR(IF(ContractorPayroll[[#This Row],[Annual Cost of Wage Increase included in Rate Adjustment]]=0,0,R233*'Facility Info Input'!$F$10),0)</f>
        <v>0</v>
      </c>
      <c r="T233" s="32">
        <f t="shared" si="12"/>
        <v>0</v>
      </c>
      <c r="U233" s="32">
        <f t="shared" si="13"/>
        <v>0</v>
      </c>
      <c r="V233" s="32">
        <f t="shared" si="14"/>
        <v>0</v>
      </c>
      <c r="W233" s="32">
        <f t="shared" si="15"/>
        <v>0</v>
      </c>
    </row>
    <row r="234" spans="1:23">
      <c r="A234" s="77"/>
      <c r="B234" s="76"/>
      <c r="C234" s="77"/>
      <c r="D234" s="81"/>
      <c r="E234" s="82"/>
      <c r="F234" s="82"/>
      <c r="G234" s="83"/>
      <c r="H234" s="84"/>
      <c r="I234" s="85"/>
      <c r="J234" s="85"/>
      <c r="K234" s="85"/>
      <c r="L234" s="85"/>
      <c r="M234" s="93" t="e">
        <f>#REF!&amp;" "&amp;ContractorPayroll[[#This Row],[Employee ID Number / Code]]</f>
        <v>#REF!</v>
      </c>
      <c r="N234" s="71" t="str">
        <f>_xlfn.IFNA(IF(C234="","",VLOOKUP(ContractorPayroll[[#This Row],[Position / Title]],Lists!I:K,3,FALSE)),"")</f>
        <v/>
      </c>
      <c r="O234" s="42" t="str">
        <f>IF(ContractorPayroll[[#This Row],[Position / Title]]="","",VLOOKUP(ContractorPayroll[[#This Row],[Position / Title]],Lists!I:K,2,FALSE))</f>
        <v/>
      </c>
      <c r="P234" s="22" t="str">
        <f>IF(D234="","",ContractorPayroll[[#This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4" s="31">
        <f>IFERROR(IF(ContractorPayroll[[#This Row],[Annual Cost of Wage Increase included in Rate Adjustment]]=0,0,R234*'Facility Info Input'!$F$10),0)</f>
        <v>0</v>
      </c>
      <c r="T234" s="32">
        <f t="shared" si="12"/>
        <v>0</v>
      </c>
      <c r="U234" s="32">
        <f t="shared" si="13"/>
        <v>0</v>
      </c>
      <c r="V234" s="32">
        <f t="shared" si="14"/>
        <v>0</v>
      </c>
      <c r="W234" s="32">
        <f t="shared" si="15"/>
        <v>0</v>
      </c>
    </row>
    <row r="235" spans="1:23">
      <c r="A235" s="77"/>
      <c r="B235" s="76"/>
      <c r="C235" s="77"/>
      <c r="D235" s="81"/>
      <c r="E235" s="82"/>
      <c r="F235" s="82"/>
      <c r="G235" s="83"/>
      <c r="H235" s="84"/>
      <c r="I235" s="85"/>
      <c r="J235" s="85"/>
      <c r="K235" s="85"/>
      <c r="L235" s="85"/>
      <c r="M235" s="93" t="e">
        <f>#REF!&amp;" "&amp;ContractorPayroll[[#This Row],[Employee ID Number / Code]]</f>
        <v>#REF!</v>
      </c>
      <c r="N235" s="71" t="str">
        <f>_xlfn.IFNA(IF(C235="","",VLOOKUP(ContractorPayroll[[#This Row],[Position / Title]],Lists!I:K,3,FALSE)),"")</f>
        <v/>
      </c>
      <c r="O235" s="42" t="str">
        <f>IF(ContractorPayroll[[#This Row],[Position / Title]]="","",VLOOKUP(ContractorPayroll[[#This Row],[Position / Title]],Lists!I:K,2,FALSE))</f>
        <v/>
      </c>
      <c r="P235" s="22" t="str">
        <f>IF(D235="","",ContractorPayroll[[#This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5" s="31">
        <f>IFERROR(IF(ContractorPayroll[[#This Row],[Annual Cost of Wage Increase included in Rate Adjustment]]=0,0,R235*'Facility Info Input'!$F$10),0)</f>
        <v>0</v>
      </c>
      <c r="T235" s="32">
        <f t="shared" si="12"/>
        <v>0</v>
      </c>
      <c r="U235" s="32">
        <f t="shared" si="13"/>
        <v>0</v>
      </c>
      <c r="V235" s="32">
        <f t="shared" si="14"/>
        <v>0</v>
      </c>
      <c r="W235" s="32">
        <f t="shared" si="15"/>
        <v>0</v>
      </c>
    </row>
    <row r="236" spans="1:23">
      <c r="A236" s="77"/>
      <c r="B236" s="76"/>
      <c r="C236" s="77"/>
      <c r="D236" s="81"/>
      <c r="E236" s="82"/>
      <c r="F236" s="82"/>
      <c r="G236" s="83"/>
      <c r="H236" s="84"/>
      <c r="I236" s="85"/>
      <c r="J236" s="85"/>
      <c r="K236" s="85"/>
      <c r="L236" s="85"/>
      <c r="M236" s="93" t="e">
        <f>#REF!&amp;" "&amp;ContractorPayroll[[#This Row],[Employee ID Number / Code]]</f>
        <v>#REF!</v>
      </c>
      <c r="N236" s="71" t="str">
        <f>_xlfn.IFNA(IF(C236="","",VLOOKUP(ContractorPayroll[[#This Row],[Position / Title]],Lists!I:K,3,FALSE)),"")</f>
        <v/>
      </c>
      <c r="O236" s="42" t="str">
        <f>IF(ContractorPayroll[[#This Row],[Position / Title]]="","",VLOOKUP(ContractorPayroll[[#This Row],[Position / Title]],Lists!I:K,2,FALSE))</f>
        <v/>
      </c>
      <c r="P236" s="22" t="str">
        <f>IF(D236="","",ContractorPayroll[[#This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6" s="31">
        <f>IFERROR(IF(ContractorPayroll[[#This Row],[Annual Cost of Wage Increase included in Rate Adjustment]]=0,0,R236*'Facility Info Input'!$F$10),0)</f>
        <v>0</v>
      </c>
      <c r="T236" s="32">
        <f t="shared" si="12"/>
        <v>0</v>
      </c>
      <c r="U236" s="32">
        <f t="shared" si="13"/>
        <v>0</v>
      </c>
      <c r="V236" s="32">
        <f t="shared" si="14"/>
        <v>0</v>
      </c>
      <c r="W236" s="32">
        <f t="shared" si="15"/>
        <v>0</v>
      </c>
    </row>
    <row r="237" spans="1:23">
      <c r="A237" s="77"/>
      <c r="B237" s="76"/>
      <c r="C237" s="77"/>
      <c r="D237" s="81"/>
      <c r="E237" s="82"/>
      <c r="F237" s="82"/>
      <c r="G237" s="83"/>
      <c r="H237" s="84"/>
      <c r="I237" s="85"/>
      <c r="J237" s="85"/>
      <c r="K237" s="85"/>
      <c r="L237" s="85"/>
      <c r="M237" s="93" t="e">
        <f>#REF!&amp;" "&amp;ContractorPayroll[[#This Row],[Employee ID Number / Code]]</f>
        <v>#REF!</v>
      </c>
      <c r="N237" s="71" t="str">
        <f>_xlfn.IFNA(IF(C237="","",VLOOKUP(ContractorPayroll[[#This Row],[Position / Title]],Lists!I:K,3,FALSE)),"")</f>
        <v/>
      </c>
      <c r="O237" s="42" t="str">
        <f>IF(ContractorPayroll[[#This Row],[Position / Title]]="","",VLOOKUP(ContractorPayroll[[#This Row],[Position / Title]],Lists!I:K,2,FALSE))</f>
        <v/>
      </c>
      <c r="P237" s="22" t="str">
        <f>IF(D237="","",ContractorPayroll[[#This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7" s="31">
        <f>IFERROR(IF(ContractorPayroll[[#This Row],[Annual Cost of Wage Increase included in Rate Adjustment]]=0,0,R237*'Facility Info Input'!$F$10),0)</f>
        <v>0</v>
      </c>
      <c r="T237" s="32">
        <f t="shared" si="12"/>
        <v>0</v>
      </c>
      <c r="U237" s="32">
        <f t="shared" si="13"/>
        <v>0</v>
      </c>
      <c r="V237" s="32">
        <f t="shared" si="14"/>
        <v>0</v>
      </c>
      <c r="W237" s="32">
        <f t="shared" si="15"/>
        <v>0</v>
      </c>
    </row>
    <row r="238" spans="1:23">
      <c r="A238" s="77"/>
      <c r="B238" s="76"/>
      <c r="C238" s="77"/>
      <c r="D238" s="81"/>
      <c r="E238" s="82"/>
      <c r="F238" s="82"/>
      <c r="G238" s="83"/>
      <c r="H238" s="84"/>
      <c r="I238" s="85"/>
      <c r="J238" s="85"/>
      <c r="K238" s="85"/>
      <c r="L238" s="85"/>
      <c r="M238" s="93" t="e">
        <f>#REF!&amp;" "&amp;ContractorPayroll[[#This Row],[Employee ID Number / Code]]</f>
        <v>#REF!</v>
      </c>
      <c r="N238" s="71" t="str">
        <f>_xlfn.IFNA(IF(C238="","",VLOOKUP(ContractorPayroll[[#This Row],[Position / Title]],Lists!I:K,3,FALSE)),"")</f>
        <v/>
      </c>
      <c r="O238" s="42" t="str">
        <f>IF(ContractorPayroll[[#This Row],[Position / Title]]="","",VLOOKUP(ContractorPayroll[[#This Row],[Position / Title]],Lists!I:K,2,FALSE))</f>
        <v/>
      </c>
      <c r="P238" s="22" t="str">
        <f>IF(D238="","",ContractorPayroll[[#This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8" s="31">
        <f>IFERROR(IF(ContractorPayroll[[#This Row],[Annual Cost of Wage Increase included in Rate Adjustment]]=0,0,R238*'Facility Info Input'!$F$10),0)</f>
        <v>0</v>
      </c>
      <c r="T238" s="32">
        <f t="shared" si="12"/>
        <v>0</v>
      </c>
      <c r="U238" s="32">
        <f t="shared" si="13"/>
        <v>0</v>
      </c>
      <c r="V238" s="32">
        <f t="shared" si="14"/>
        <v>0</v>
      </c>
      <c r="W238" s="32">
        <f t="shared" si="15"/>
        <v>0</v>
      </c>
    </row>
    <row r="239" spans="1:23">
      <c r="A239" s="77"/>
      <c r="B239" s="76"/>
      <c r="C239" s="77"/>
      <c r="D239" s="81"/>
      <c r="E239" s="82"/>
      <c r="F239" s="82"/>
      <c r="G239" s="83"/>
      <c r="H239" s="84"/>
      <c r="I239" s="85"/>
      <c r="J239" s="85"/>
      <c r="K239" s="85"/>
      <c r="L239" s="85"/>
      <c r="M239" s="93" t="e">
        <f>#REF!&amp;" "&amp;ContractorPayroll[[#This Row],[Employee ID Number / Code]]</f>
        <v>#REF!</v>
      </c>
      <c r="N239" s="71" t="str">
        <f>_xlfn.IFNA(IF(C239="","",VLOOKUP(ContractorPayroll[[#This Row],[Position / Title]],Lists!I:K,3,FALSE)),"")</f>
        <v/>
      </c>
      <c r="O239" s="42" t="str">
        <f>IF(ContractorPayroll[[#This Row],[Position / Title]]="","",VLOOKUP(ContractorPayroll[[#This Row],[Position / Title]],Lists!I:K,2,FALSE))</f>
        <v/>
      </c>
      <c r="P239" s="22" t="str">
        <f>IF(D239="","",ContractorPayroll[[#This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3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3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39" s="31">
        <f>IFERROR(IF(ContractorPayroll[[#This Row],[Annual Cost of Wage Increase included in Rate Adjustment]]=0,0,R239*'Facility Info Input'!$F$10),0)</f>
        <v>0</v>
      </c>
      <c r="T239" s="32">
        <f t="shared" si="12"/>
        <v>0</v>
      </c>
      <c r="U239" s="32">
        <f t="shared" si="13"/>
        <v>0</v>
      </c>
      <c r="V239" s="32">
        <f t="shared" si="14"/>
        <v>0</v>
      </c>
      <c r="W239" s="32">
        <f t="shared" si="15"/>
        <v>0</v>
      </c>
    </row>
    <row r="240" spans="1:23">
      <c r="A240" s="77"/>
      <c r="B240" s="76"/>
      <c r="C240" s="77"/>
      <c r="D240" s="81"/>
      <c r="E240" s="82"/>
      <c r="F240" s="82"/>
      <c r="G240" s="83"/>
      <c r="H240" s="84"/>
      <c r="I240" s="85"/>
      <c r="J240" s="85"/>
      <c r="K240" s="85"/>
      <c r="L240" s="85"/>
      <c r="M240" s="93" t="e">
        <f>#REF!&amp;" "&amp;ContractorPayroll[[#This Row],[Employee ID Number / Code]]</f>
        <v>#REF!</v>
      </c>
      <c r="N240" s="71" t="str">
        <f>_xlfn.IFNA(IF(C240="","",VLOOKUP(ContractorPayroll[[#This Row],[Position / Title]],Lists!I:K,3,FALSE)),"")</f>
        <v/>
      </c>
      <c r="O240" s="42" t="str">
        <f>IF(ContractorPayroll[[#This Row],[Position / Title]]="","",VLOOKUP(ContractorPayroll[[#This Row],[Position / Title]],Lists!I:K,2,FALSE))</f>
        <v/>
      </c>
      <c r="P240" s="22" t="str">
        <f>IF(D240="","",ContractorPayroll[[#This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0" s="31">
        <f>IFERROR(IF(ContractorPayroll[[#This Row],[Annual Cost of Wage Increase included in Rate Adjustment]]=0,0,R240*'Facility Info Input'!$F$10),0)</f>
        <v>0</v>
      </c>
      <c r="T240" s="32">
        <f t="shared" si="12"/>
        <v>0</v>
      </c>
      <c r="U240" s="32">
        <f t="shared" si="13"/>
        <v>0</v>
      </c>
      <c r="V240" s="32">
        <f t="shared" si="14"/>
        <v>0</v>
      </c>
      <c r="W240" s="32">
        <f t="shared" si="15"/>
        <v>0</v>
      </c>
    </row>
    <row r="241" spans="1:23">
      <c r="A241" s="77"/>
      <c r="B241" s="76"/>
      <c r="C241" s="77"/>
      <c r="D241" s="81"/>
      <c r="E241" s="82"/>
      <c r="F241" s="82"/>
      <c r="G241" s="83"/>
      <c r="H241" s="84"/>
      <c r="I241" s="85"/>
      <c r="J241" s="85"/>
      <c r="K241" s="85"/>
      <c r="L241" s="85"/>
      <c r="M241" s="93" t="e">
        <f>#REF!&amp;" "&amp;ContractorPayroll[[#This Row],[Employee ID Number / Code]]</f>
        <v>#REF!</v>
      </c>
      <c r="N241" s="71" t="str">
        <f>_xlfn.IFNA(IF(C241="","",VLOOKUP(ContractorPayroll[[#This Row],[Position / Title]],Lists!I:K,3,FALSE)),"")</f>
        <v/>
      </c>
      <c r="O241" s="42" t="str">
        <f>IF(ContractorPayroll[[#This Row],[Position / Title]]="","",VLOOKUP(ContractorPayroll[[#This Row],[Position / Title]],Lists!I:K,2,FALSE))</f>
        <v/>
      </c>
      <c r="P241" s="22" t="str">
        <f>IF(D241="","",ContractorPayroll[[#This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1" s="31">
        <f>IFERROR(IF(ContractorPayroll[[#This Row],[Annual Cost of Wage Increase included in Rate Adjustment]]=0,0,R241*'Facility Info Input'!$F$10),0)</f>
        <v>0</v>
      </c>
      <c r="T241" s="32">
        <f t="shared" si="12"/>
        <v>0</v>
      </c>
      <c r="U241" s="32">
        <f t="shared" si="13"/>
        <v>0</v>
      </c>
      <c r="V241" s="32">
        <f t="shared" si="14"/>
        <v>0</v>
      </c>
      <c r="W241" s="32">
        <f t="shared" si="15"/>
        <v>0</v>
      </c>
    </row>
    <row r="242" spans="1:23">
      <c r="A242" s="77"/>
      <c r="B242" s="76"/>
      <c r="C242" s="77"/>
      <c r="D242" s="81"/>
      <c r="E242" s="82"/>
      <c r="F242" s="82"/>
      <c r="G242" s="83"/>
      <c r="H242" s="84"/>
      <c r="I242" s="85"/>
      <c r="J242" s="85"/>
      <c r="K242" s="85"/>
      <c r="L242" s="85"/>
      <c r="M242" s="93" t="e">
        <f>#REF!&amp;" "&amp;ContractorPayroll[[#This Row],[Employee ID Number / Code]]</f>
        <v>#REF!</v>
      </c>
      <c r="N242" s="71" t="str">
        <f>_xlfn.IFNA(IF(C242="","",VLOOKUP(ContractorPayroll[[#This Row],[Position / Title]],Lists!I:K,3,FALSE)),"")</f>
        <v/>
      </c>
      <c r="O242" s="42" t="str">
        <f>IF(ContractorPayroll[[#This Row],[Position / Title]]="","",VLOOKUP(ContractorPayroll[[#This Row],[Position / Title]],Lists!I:K,2,FALSE))</f>
        <v/>
      </c>
      <c r="P242" s="22" t="str">
        <f>IF(D242="","",ContractorPayroll[[#This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2" s="31">
        <f>IFERROR(IF(ContractorPayroll[[#This Row],[Annual Cost of Wage Increase included in Rate Adjustment]]=0,0,R242*'Facility Info Input'!$F$10),0)</f>
        <v>0</v>
      </c>
      <c r="T242" s="32">
        <f t="shared" si="12"/>
        <v>0</v>
      </c>
      <c r="U242" s="32">
        <f t="shared" si="13"/>
        <v>0</v>
      </c>
      <c r="V242" s="32">
        <f t="shared" si="14"/>
        <v>0</v>
      </c>
      <c r="W242" s="32">
        <f t="shared" si="15"/>
        <v>0</v>
      </c>
    </row>
    <row r="243" spans="1:23">
      <c r="A243" s="77"/>
      <c r="B243" s="76"/>
      <c r="C243" s="77"/>
      <c r="D243" s="81"/>
      <c r="E243" s="82"/>
      <c r="F243" s="82"/>
      <c r="G243" s="83"/>
      <c r="H243" s="84"/>
      <c r="I243" s="85"/>
      <c r="J243" s="85"/>
      <c r="K243" s="85"/>
      <c r="L243" s="85"/>
      <c r="M243" s="93" t="e">
        <f>#REF!&amp;" "&amp;ContractorPayroll[[#This Row],[Employee ID Number / Code]]</f>
        <v>#REF!</v>
      </c>
      <c r="N243" s="71" t="str">
        <f>_xlfn.IFNA(IF(C243="","",VLOOKUP(ContractorPayroll[[#This Row],[Position / Title]],Lists!I:K,3,FALSE)),"")</f>
        <v/>
      </c>
      <c r="O243" s="42" t="str">
        <f>IF(ContractorPayroll[[#This Row],[Position / Title]]="","",VLOOKUP(ContractorPayroll[[#This Row],[Position / Title]],Lists!I:K,2,FALSE))</f>
        <v/>
      </c>
      <c r="P243" s="22" t="str">
        <f>IF(D243="","",ContractorPayroll[[#This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3" s="31">
        <f>IFERROR(IF(ContractorPayroll[[#This Row],[Annual Cost of Wage Increase included in Rate Adjustment]]=0,0,R243*'Facility Info Input'!$F$10),0)</f>
        <v>0</v>
      </c>
      <c r="T243" s="32">
        <f t="shared" si="12"/>
        <v>0</v>
      </c>
      <c r="U243" s="32">
        <f t="shared" si="13"/>
        <v>0</v>
      </c>
      <c r="V243" s="32">
        <f t="shared" si="14"/>
        <v>0</v>
      </c>
      <c r="W243" s="32">
        <f t="shared" si="15"/>
        <v>0</v>
      </c>
    </row>
    <row r="244" spans="1:23">
      <c r="A244" s="77"/>
      <c r="B244" s="76"/>
      <c r="C244" s="77"/>
      <c r="D244" s="81"/>
      <c r="E244" s="82"/>
      <c r="F244" s="82"/>
      <c r="G244" s="83"/>
      <c r="H244" s="84"/>
      <c r="I244" s="85"/>
      <c r="J244" s="85"/>
      <c r="K244" s="85"/>
      <c r="L244" s="85"/>
      <c r="M244" s="93" t="e">
        <f>#REF!&amp;" "&amp;ContractorPayroll[[#This Row],[Employee ID Number / Code]]</f>
        <v>#REF!</v>
      </c>
      <c r="N244" s="71" t="str">
        <f>_xlfn.IFNA(IF(C244="","",VLOOKUP(ContractorPayroll[[#This Row],[Position / Title]],Lists!I:K,3,FALSE)),"")</f>
        <v/>
      </c>
      <c r="O244" s="42" t="str">
        <f>IF(ContractorPayroll[[#This Row],[Position / Title]]="","",VLOOKUP(ContractorPayroll[[#This Row],[Position / Title]],Lists!I:K,2,FALSE))</f>
        <v/>
      </c>
      <c r="P244" s="22" t="str">
        <f>IF(D244="","",ContractorPayroll[[#This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4" s="31">
        <f>IFERROR(IF(ContractorPayroll[[#This Row],[Annual Cost of Wage Increase included in Rate Adjustment]]=0,0,R244*'Facility Info Input'!$F$10),0)</f>
        <v>0</v>
      </c>
      <c r="T244" s="32">
        <f t="shared" si="12"/>
        <v>0</v>
      </c>
      <c r="U244" s="32">
        <f t="shared" si="13"/>
        <v>0</v>
      </c>
      <c r="V244" s="32">
        <f t="shared" si="14"/>
        <v>0</v>
      </c>
      <c r="W244" s="32">
        <f t="shared" si="15"/>
        <v>0</v>
      </c>
    </row>
    <row r="245" spans="1:23">
      <c r="A245" s="77"/>
      <c r="B245" s="76"/>
      <c r="C245" s="77"/>
      <c r="D245" s="81"/>
      <c r="E245" s="82"/>
      <c r="F245" s="82"/>
      <c r="G245" s="83"/>
      <c r="H245" s="84"/>
      <c r="I245" s="85"/>
      <c r="J245" s="85"/>
      <c r="K245" s="85"/>
      <c r="L245" s="85"/>
      <c r="M245" s="93" t="e">
        <f>#REF!&amp;" "&amp;ContractorPayroll[[#This Row],[Employee ID Number / Code]]</f>
        <v>#REF!</v>
      </c>
      <c r="N245" s="71" t="str">
        <f>_xlfn.IFNA(IF(C245="","",VLOOKUP(ContractorPayroll[[#This Row],[Position / Title]],Lists!I:K,3,FALSE)),"")</f>
        <v/>
      </c>
      <c r="O245" s="42" t="str">
        <f>IF(ContractorPayroll[[#This Row],[Position / Title]]="","",VLOOKUP(ContractorPayroll[[#This Row],[Position / Title]],Lists!I:K,2,FALSE))</f>
        <v/>
      </c>
      <c r="P245" s="22" t="str">
        <f>IF(D245="","",ContractorPayroll[[#This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5" s="31">
        <f>IFERROR(IF(ContractorPayroll[[#This Row],[Annual Cost of Wage Increase included in Rate Adjustment]]=0,0,R245*'Facility Info Input'!$F$10),0)</f>
        <v>0</v>
      </c>
      <c r="T245" s="32">
        <f t="shared" si="12"/>
        <v>0</v>
      </c>
      <c r="U245" s="32">
        <f t="shared" si="13"/>
        <v>0</v>
      </c>
      <c r="V245" s="32">
        <f t="shared" si="14"/>
        <v>0</v>
      </c>
      <c r="W245" s="32">
        <f t="shared" si="15"/>
        <v>0</v>
      </c>
    </row>
    <row r="246" spans="1:23">
      <c r="A246" s="77"/>
      <c r="B246" s="76"/>
      <c r="C246" s="77"/>
      <c r="D246" s="81"/>
      <c r="E246" s="82"/>
      <c r="F246" s="82"/>
      <c r="G246" s="83"/>
      <c r="H246" s="84"/>
      <c r="I246" s="85"/>
      <c r="J246" s="85"/>
      <c r="K246" s="85"/>
      <c r="L246" s="85"/>
      <c r="M246" s="93" t="e">
        <f>#REF!&amp;" "&amp;ContractorPayroll[[#This Row],[Employee ID Number / Code]]</f>
        <v>#REF!</v>
      </c>
      <c r="N246" s="71" t="str">
        <f>_xlfn.IFNA(IF(C246="","",VLOOKUP(ContractorPayroll[[#This Row],[Position / Title]],Lists!I:K,3,FALSE)),"")</f>
        <v/>
      </c>
      <c r="O246" s="42" t="str">
        <f>IF(ContractorPayroll[[#This Row],[Position / Title]]="","",VLOOKUP(ContractorPayroll[[#This Row],[Position / Title]],Lists!I:K,2,FALSE))</f>
        <v/>
      </c>
      <c r="P246" s="22" t="str">
        <f>IF(D246="","",ContractorPayroll[[#This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6" s="31">
        <f>IFERROR(IF(ContractorPayroll[[#This Row],[Annual Cost of Wage Increase included in Rate Adjustment]]=0,0,R246*'Facility Info Input'!$F$10),0)</f>
        <v>0</v>
      </c>
      <c r="T246" s="32">
        <f t="shared" si="12"/>
        <v>0</v>
      </c>
      <c r="U246" s="32">
        <f t="shared" si="13"/>
        <v>0</v>
      </c>
      <c r="V246" s="32">
        <f t="shared" si="14"/>
        <v>0</v>
      </c>
      <c r="W246" s="32">
        <f t="shared" si="15"/>
        <v>0</v>
      </c>
    </row>
    <row r="247" spans="1:23">
      <c r="A247" s="77"/>
      <c r="B247" s="76"/>
      <c r="C247" s="77"/>
      <c r="D247" s="81"/>
      <c r="E247" s="82"/>
      <c r="F247" s="82"/>
      <c r="G247" s="83"/>
      <c r="H247" s="84"/>
      <c r="I247" s="85"/>
      <c r="J247" s="85"/>
      <c r="K247" s="85"/>
      <c r="L247" s="85"/>
      <c r="M247" s="93" t="e">
        <f>#REF!&amp;" "&amp;ContractorPayroll[[#This Row],[Employee ID Number / Code]]</f>
        <v>#REF!</v>
      </c>
      <c r="N247" s="71" t="str">
        <f>_xlfn.IFNA(IF(C247="","",VLOOKUP(ContractorPayroll[[#This Row],[Position / Title]],Lists!I:K,3,FALSE)),"")</f>
        <v/>
      </c>
      <c r="O247" s="42" t="str">
        <f>IF(ContractorPayroll[[#This Row],[Position / Title]]="","",VLOOKUP(ContractorPayroll[[#This Row],[Position / Title]],Lists!I:K,2,FALSE))</f>
        <v/>
      </c>
      <c r="P247" s="22" t="str">
        <f>IF(D247="","",ContractorPayroll[[#This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7" s="31">
        <f>IFERROR(IF(ContractorPayroll[[#This Row],[Annual Cost of Wage Increase included in Rate Adjustment]]=0,0,R247*'Facility Info Input'!$F$10),0)</f>
        <v>0</v>
      </c>
      <c r="T247" s="32">
        <f t="shared" si="12"/>
        <v>0</v>
      </c>
      <c r="U247" s="32">
        <f t="shared" si="13"/>
        <v>0</v>
      </c>
      <c r="V247" s="32">
        <f t="shared" si="14"/>
        <v>0</v>
      </c>
      <c r="W247" s="32">
        <f t="shared" si="15"/>
        <v>0</v>
      </c>
    </row>
    <row r="248" spans="1:23">
      <c r="A248" s="77"/>
      <c r="B248" s="76"/>
      <c r="C248" s="77"/>
      <c r="D248" s="81"/>
      <c r="E248" s="82"/>
      <c r="F248" s="82"/>
      <c r="G248" s="83"/>
      <c r="H248" s="84"/>
      <c r="I248" s="85"/>
      <c r="J248" s="85"/>
      <c r="K248" s="85"/>
      <c r="L248" s="85"/>
      <c r="M248" s="93" t="e">
        <f>#REF!&amp;" "&amp;ContractorPayroll[[#This Row],[Employee ID Number / Code]]</f>
        <v>#REF!</v>
      </c>
      <c r="N248" s="71" t="str">
        <f>_xlfn.IFNA(IF(C248="","",VLOOKUP(ContractorPayroll[[#This Row],[Position / Title]],Lists!I:K,3,FALSE)),"")</f>
        <v/>
      </c>
      <c r="O248" s="42" t="str">
        <f>IF(ContractorPayroll[[#This Row],[Position / Title]]="","",VLOOKUP(ContractorPayroll[[#This Row],[Position / Title]],Lists!I:K,2,FALSE))</f>
        <v/>
      </c>
      <c r="P248" s="22" t="str">
        <f>IF(D248="","",ContractorPayroll[[#This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8" s="31">
        <f>IFERROR(IF(ContractorPayroll[[#This Row],[Annual Cost of Wage Increase included in Rate Adjustment]]=0,0,R248*'Facility Info Input'!$F$10),0)</f>
        <v>0</v>
      </c>
      <c r="T248" s="32">
        <f t="shared" si="12"/>
        <v>0</v>
      </c>
      <c r="U248" s="32">
        <f t="shared" si="13"/>
        <v>0</v>
      </c>
      <c r="V248" s="32">
        <f t="shared" si="14"/>
        <v>0</v>
      </c>
      <c r="W248" s="32">
        <f t="shared" si="15"/>
        <v>0</v>
      </c>
    </row>
    <row r="249" spans="1:23">
      <c r="A249" s="77"/>
      <c r="B249" s="76"/>
      <c r="C249" s="77"/>
      <c r="D249" s="81"/>
      <c r="E249" s="82"/>
      <c r="F249" s="82"/>
      <c r="G249" s="83"/>
      <c r="H249" s="84"/>
      <c r="I249" s="85"/>
      <c r="J249" s="85"/>
      <c r="K249" s="85"/>
      <c r="L249" s="85"/>
      <c r="M249" s="93" t="e">
        <f>#REF!&amp;" "&amp;ContractorPayroll[[#This Row],[Employee ID Number / Code]]</f>
        <v>#REF!</v>
      </c>
      <c r="N249" s="71" t="str">
        <f>_xlfn.IFNA(IF(C249="","",VLOOKUP(ContractorPayroll[[#This Row],[Position / Title]],Lists!I:K,3,FALSE)),"")</f>
        <v/>
      </c>
      <c r="O249" s="42" t="str">
        <f>IF(ContractorPayroll[[#This Row],[Position / Title]]="","",VLOOKUP(ContractorPayroll[[#This Row],[Position / Title]],Lists!I:K,2,FALSE))</f>
        <v/>
      </c>
      <c r="P249" s="22" t="str">
        <f>IF(D249="","",ContractorPayroll[[#This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4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4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49" s="31">
        <f>IFERROR(IF(ContractorPayroll[[#This Row],[Annual Cost of Wage Increase included in Rate Adjustment]]=0,0,R249*'Facility Info Input'!$F$10),0)</f>
        <v>0</v>
      </c>
      <c r="T249" s="32">
        <f t="shared" si="12"/>
        <v>0</v>
      </c>
      <c r="U249" s="32">
        <f t="shared" si="13"/>
        <v>0</v>
      </c>
      <c r="V249" s="32">
        <f t="shared" si="14"/>
        <v>0</v>
      </c>
      <c r="W249" s="32">
        <f t="shared" si="15"/>
        <v>0</v>
      </c>
    </row>
    <row r="250" spans="1:23">
      <c r="A250" s="77"/>
      <c r="B250" s="76"/>
      <c r="C250" s="77"/>
      <c r="D250" s="81"/>
      <c r="E250" s="82"/>
      <c r="F250" s="82"/>
      <c r="G250" s="83"/>
      <c r="H250" s="84"/>
      <c r="I250" s="85"/>
      <c r="J250" s="85"/>
      <c r="K250" s="85"/>
      <c r="L250" s="85"/>
      <c r="M250" s="93" t="e">
        <f>#REF!&amp;" "&amp;ContractorPayroll[[#This Row],[Employee ID Number / Code]]</f>
        <v>#REF!</v>
      </c>
      <c r="N250" s="71" t="str">
        <f>_xlfn.IFNA(IF(C250="","",VLOOKUP(ContractorPayroll[[#This Row],[Position / Title]],Lists!I:K,3,FALSE)),"")</f>
        <v/>
      </c>
      <c r="O250" s="42" t="str">
        <f>IF(ContractorPayroll[[#This Row],[Position / Title]]="","",VLOOKUP(ContractorPayroll[[#This Row],[Position / Title]],Lists!I:K,2,FALSE))</f>
        <v/>
      </c>
      <c r="P250" s="22" t="str">
        <f>IF(D250="","",ContractorPayroll[[#This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0" s="31">
        <f>IFERROR(IF(ContractorPayroll[[#This Row],[Annual Cost of Wage Increase included in Rate Adjustment]]=0,0,R250*'Facility Info Input'!$F$10),0)</f>
        <v>0</v>
      </c>
      <c r="T250" s="32">
        <f t="shared" si="12"/>
        <v>0</v>
      </c>
      <c r="U250" s="32">
        <f t="shared" si="13"/>
        <v>0</v>
      </c>
      <c r="V250" s="32">
        <f t="shared" si="14"/>
        <v>0</v>
      </c>
      <c r="W250" s="32">
        <f t="shared" si="15"/>
        <v>0</v>
      </c>
    </row>
    <row r="251" spans="1:23">
      <c r="A251" s="77"/>
      <c r="B251" s="76"/>
      <c r="C251" s="77"/>
      <c r="D251" s="81"/>
      <c r="E251" s="82"/>
      <c r="F251" s="82"/>
      <c r="G251" s="83"/>
      <c r="H251" s="84"/>
      <c r="I251" s="85"/>
      <c r="J251" s="85"/>
      <c r="K251" s="85"/>
      <c r="L251" s="85"/>
      <c r="M251" s="93" t="e">
        <f>#REF!&amp;" "&amp;ContractorPayroll[[#This Row],[Employee ID Number / Code]]</f>
        <v>#REF!</v>
      </c>
      <c r="N251" s="71" t="str">
        <f>_xlfn.IFNA(IF(C251="","",VLOOKUP(ContractorPayroll[[#This Row],[Position / Title]],Lists!I:K,3,FALSE)),"")</f>
        <v/>
      </c>
      <c r="O251" s="42" t="str">
        <f>IF(ContractorPayroll[[#This Row],[Position / Title]]="","",VLOOKUP(ContractorPayroll[[#This Row],[Position / Title]],Lists!I:K,2,FALSE))</f>
        <v/>
      </c>
      <c r="P251" s="22" t="str">
        <f>IF(D251="","",ContractorPayroll[[#This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1" s="31">
        <f>IFERROR(IF(ContractorPayroll[[#This Row],[Annual Cost of Wage Increase included in Rate Adjustment]]=0,0,R251*'Facility Info Input'!$F$10),0)</f>
        <v>0</v>
      </c>
      <c r="T251" s="32">
        <f t="shared" si="12"/>
        <v>0</v>
      </c>
      <c r="U251" s="32">
        <f t="shared" si="13"/>
        <v>0</v>
      </c>
      <c r="V251" s="32">
        <f t="shared" si="14"/>
        <v>0</v>
      </c>
      <c r="W251" s="32">
        <f t="shared" si="15"/>
        <v>0</v>
      </c>
    </row>
    <row r="252" spans="1:23">
      <c r="A252" s="77"/>
      <c r="B252" s="76"/>
      <c r="C252" s="77"/>
      <c r="D252" s="81"/>
      <c r="E252" s="82"/>
      <c r="F252" s="82"/>
      <c r="G252" s="83"/>
      <c r="H252" s="84"/>
      <c r="I252" s="85"/>
      <c r="J252" s="85"/>
      <c r="K252" s="85"/>
      <c r="L252" s="85"/>
      <c r="M252" s="93" t="e">
        <f>#REF!&amp;" "&amp;ContractorPayroll[[#This Row],[Employee ID Number / Code]]</f>
        <v>#REF!</v>
      </c>
      <c r="N252" s="71" t="str">
        <f>_xlfn.IFNA(IF(C252="","",VLOOKUP(ContractorPayroll[[#This Row],[Position / Title]],Lists!I:K,3,FALSE)),"")</f>
        <v/>
      </c>
      <c r="O252" s="42" t="str">
        <f>IF(ContractorPayroll[[#This Row],[Position / Title]]="","",VLOOKUP(ContractorPayroll[[#This Row],[Position / Title]],Lists!I:K,2,FALSE))</f>
        <v/>
      </c>
      <c r="P252" s="22" t="str">
        <f>IF(D252="","",ContractorPayroll[[#This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2" s="31">
        <f>IFERROR(IF(ContractorPayroll[[#This Row],[Annual Cost of Wage Increase included in Rate Adjustment]]=0,0,R252*'Facility Info Input'!$F$10),0)</f>
        <v>0</v>
      </c>
      <c r="T252" s="32">
        <f t="shared" si="12"/>
        <v>0</v>
      </c>
      <c r="U252" s="32">
        <f t="shared" si="13"/>
        <v>0</v>
      </c>
      <c r="V252" s="32">
        <f t="shared" si="14"/>
        <v>0</v>
      </c>
      <c r="W252" s="32">
        <f t="shared" si="15"/>
        <v>0</v>
      </c>
    </row>
    <row r="253" spans="1:23">
      <c r="A253" s="77"/>
      <c r="B253" s="76"/>
      <c r="C253" s="77"/>
      <c r="D253" s="81"/>
      <c r="E253" s="82"/>
      <c r="F253" s="82"/>
      <c r="G253" s="83"/>
      <c r="H253" s="84"/>
      <c r="I253" s="85"/>
      <c r="J253" s="85"/>
      <c r="K253" s="85"/>
      <c r="L253" s="85"/>
      <c r="M253" s="93" t="e">
        <f>#REF!&amp;" "&amp;ContractorPayroll[[#This Row],[Employee ID Number / Code]]</f>
        <v>#REF!</v>
      </c>
      <c r="N253" s="71" t="str">
        <f>_xlfn.IFNA(IF(C253="","",VLOOKUP(ContractorPayroll[[#This Row],[Position / Title]],Lists!I:K,3,FALSE)),"")</f>
        <v/>
      </c>
      <c r="O253" s="42" t="str">
        <f>IF(ContractorPayroll[[#This Row],[Position / Title]]="","",VLOOKUP(ContractorPayroll[[#This Row],[Position / Title]],Lists!I:K,2,FALSE))</f>
        <v/>
      </c>
      <c r="P253" s="22" t="str">
        <f>IF(D253="","",ContractorPayroll[[#This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3" s="31">
        <f>IFERROR(IF(ContractorPayroll[[#This Row],[Annual Cost of Wage Increase included in Rate Adjustment]]=0,0,R253*'Facility Info Input'!$F$10),0)</f>
        <v>0</v>
      </c>
      <c r="T253" s="32">
        <f t="shared" si="12"/>
        <v>0</v>
      </c>
      <c r="U253" s="32">
        <f t="shared" si="13"/>
        <v>0</v>
      </c>
      <c r="V253" s="32">
        <f t="shared" si="14"/>
        <v>0</v>
      </c>
      <c r="W253" s="32">
        <f t="shared" si="15"/>
        <v>0</v>
      </c>
    </row>
    <row r="254" spans="1:23">
      <c r="A254" s="77"/>
      <c r="B254" s="76"/>
      <c r="C254" s="77"/>
      <c r="D254" s="81"/>
      <c r="E254" s="82"/>
      <c r="F254" s="82"/>
      <c r="G254" s="83"/>
      <c r="H254" s="84"/>
      <c r="I254" s="85"/>
      <c r="J254" s="85"/>
      <c r="K254" s="85"/>
      <c r="L254" s="85"/>
      <c r="M254" s="93" t="e">
        <f>#REF!&amp;" "&amp;ContractorPayroll[[#This Row],[Employee ID Number / Code]]</f>
        <v>#REF!</v>
      </c>
      <c r="N254" s="71" t="str">
        <f>_xlfn.IFNA(IF(C254="","",VLOOKUP(ContractorPayroll[[#This Row],[Position / Title]],Lists!I:K,3,FALSE)),"")</f>
        <v/>
      </c>
      <c r="O254" s="42" t="str">
        <f>IF(ContractorPayroll[[#This Row],[Position / Title]]="","",VLOOKUP(ContractorPayroll[[#This Row],[Position / Title]],Lists!I:K,2,FALSE))</f>
        <v/>
      </c>
      <c r="P254" s="22" t="str">
        <f>IF(D254="","",ContractorPayroll[[#This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4" s="31">
        <f>IFERROR(IF(ContractorPayroll[[#This Row],[Annual Cost of Wage Increase included in Rate Adjustment]]=0,0,R254*'Facility Info Input'!$F$10),0)</f>
        <v>0</v>
      </c>
      <c r="T254" s="32">
        <f t="shared" si="12"/>
        <v>0</v>
      </c>
      <c r="U254" s="32">
        <f t="shared" si="13"/>
        <v>0</v>
      </c>
      <c r="V254" s="32">
        <f t="shared" si="14"/>
        <v>0</v>
      </c>
      <c r="W254" s="32">
        <f t="shared" si="15"/>
        <v>0</v>
      </c>
    </row>
    <row r="255" spans="1:23">
      <c r="A255" s="77"/>
      <c r="B255" s="76"/>
      <c r="C255" s="77"/>
      <c r="D255" s="81"/>
      <c r="E255" s="82"/>
      <c r="F255" s="82"/>
      <c r="G255" s="83"/>
      <c r="H255" s="84"/>
      <c r="I255" s="85"/>
      <c r="J255" s="85"/>
      <c r="K255" s="85"/>
      <c r="L255" s="85"/>
      <c r="M255" s="93" t="e">
        <f>#REF!&amp;" "&amp;ContractorPayroll[[#This Row],[Employee ID Number / Code]]</f>
        <v>#REF!</v>
      </c>
      <c r="N255" s="71" t="str">
        <f>_xlfn.IFNA(IF(C255="","",VLOOKUP(ContractorPayroll[[#This Row],[Position / Title]],Lists!I:K,3,FALSE)),"")</f>
        <v/>
      </c>
      <c r="O255" s="42" t="str">
        <f>IF(ContractorPayroll[[#This Row],[Position / Title]]="","",VLOOKUP(ContractorPayroll[[#This Row],[Position / Title]],Lists!I:K,2,FALSE))</f>
        <v/>
      </c>
      <c r="P255" s="22" t="str">
        <f>IF(D255="","",ContractorPayroll[[#This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5" s="31">
        <f>IFERROR(IF(ContractorPayroll[[#This Row],[Annual Cost of Wage Increase included in Rate Adjustment]]=0,0,R255*'Facility Info Input'!$F$10),0)</f>
        <v>0</v>
      </c>
      <c r="T255" s="32">
        <f t="shared" si="12"/>
        <v>0</v>
      </c>
      <c r="U255" s="32">
        <f t="shared" si="13"/>
        <v>0</v>
      </c>
      <c r="V255" s="32">
        <f t="shared" si="14"/>
        <v>0</v>
      </c>
      <c r="W255" s="32">
        <f t="shared" si="15"/>
        <v>0</v>
      </c>
    </row>
    <row r="256" spans="1:23">
      <c r="A256" s="77"/>
      <c r="B256" s="76"/>
      <c r="C256" s="77"/>
      <c r="D256" s="81"/>
      <c r="E256" s="82"/>
      <c r="F256" s="82"/>
      <c r="G256" s="83"/>
      <c r="H256" s="84"/>
      <c r="I256" s="85"/>
      <c r="J256" s="85"/>
      <c r="K256" s="85"/>
      <c r="L256" s="85"/>
      <c r="M256" s="93" t="e">
        <f>#REF!&amp;" "&amp;ContractorPayroll[[#This Row],[Employee ID Number / Code]]</f>
        <v>#REF!</v>
      </c>
      <c r="N256" s="71" t="str">
        <f>_xlfn.IFNA(IF(C256="","",VLOOKUP(ContractorPayroll[[#This Row],[Position / Title]],Lists!I:K,3,FALSE)),"")</f>
        <v/>
      </c>
      <c r="O256" s="42" t="str">
        <f>IF(ContractorPayroll[[#This Row],[Position / Title]]="","",VLOOKUP(ContractorPayroll[[#This Row],[Position / Title]],Lists!I:K,2,FALSE))</f>
        <v/>
      </c>
      <c r="P256" s="22" t="str">
        <f>IF(D256="","",ContractorPayroll[[#This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6" s="31">
        <f>IFERROR(IF(ContractorPayroll[[#This Row],[Annual Cost of Wage Increase included in Rate Adjustment]]=0,0,R256*'Facility Info Input'!$F$10),0)</f>
        <v>0</v>
      </c>
      <c r="T256" s="32">
        <f t="shared" si="12"/>
        <v>0</v>
      </c>
      <c r="U256" s="32">
        <f t="shared" si="13"/>
        <v>0</v>
      </c>
      <c r="V256" s="32">
        <f t="shared" si="14"/>
        <v>0</v>
      </c>
      <c r="W256" s="32">
        <f t="shared" si="15"/>
        <v>0</v>
      </c>
    </row>
    <row r="257" spans="1:23">
      <c r="A257" s="77"/>
      <c r="B257" s="76"/>
      <c r="C257" s="77"/>
      <c r="D257" s="81"/>
      <c r="E257" s="82"/>
      <c r="F257" s="82"/>
      <c r="G257" s="83"/>
      <c r="H257" s="84"/>
      <c r="I257" s="85"/>
      <c r="J257" s="85"/>
      <c r="K257" s="85"/>
      <c r="L257" s="85"/>
      <c r="M257" s="93" t="e">
        <f>#REF!&amp;" "&amp;ContractorPayroll[[#This Row],[Employee ID Number / Code]]</f>
        <v>#REF!</v>
      </c>
      <c r="N257" s="71" t="str">
        <f>_xlfn.IFNA(IF(C257="","",VLOOKUP(ContractorPayroll[[#This Row],[Position / Title]],Lists!I:K,3,FALSE)),"")</f>
        <v/>
      </c>
      <c r="O257" s="42" t="str">
        <f>IF(ContractorPayroll[[#This Row],[Position / Title]]="","",VLOOKUP(ContractorPayroll[[#This Row],[Position / Title]],Lists!I:K,2,FALSE))</f>
        <v/>
      </c>
      <c r="P257" s="22" t="str">
        <f>IF(D257="","",ContractorPayroll[[#This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7" s="31">
        <f>IFERROR(IF(ContractorPayroll[[#This Row],[Annual Cost of Wage Increase included in Rate Adjustment]]=0,0,R257*'Facility Info Input'!$F$10),0)</f>
        <v>0</v>
      </c>
      <c r="T257" s="32">
        <f t="shared" si="12"/>
        <v>0</v>
      </c>
      <c r="U257" s="32">
        <f t="shared" si="13"/>
        <v>0</v>
      </c>
      <c r="V257" s="32">
        <f t="shared" si="14"/>
        <v>0</v>
      </c>
      <c r="W257" s="32">
        <f t="shared" si="15"/>
        <v>0</v>
      </c>
    </row>
    <row r="258" spans="1:23">
      <c r="A258" s="77"/>
      <c r="B258" s="76"/>
      <c r="C258" s="77"/>
      <c r="D258" s="81"/>
      <c r="E258" s="82"/>
      <c r="F258" s="82"/>
      <c r="G258" s="83"/>
      <c r="H258" s="84"/>
      <c r="I258" s="85"/>
      <c r="J258" s="85"/>
      <c r="K258" s="85"/>
      <c r="L258" s="85"/>
      <c r="M258" s="93" t="e">
        <f>#REF!&amp;" "&amp;ContractorPayroll[[#This Row],[Employee ID Number / Code]]</f>
        <v>#REF!</v>
      </c>
      <c r="N258" s="71" t="str">
        <f>_xlfn.IFNA(IF(C258="","",VLOOKUP(ContractorPayroll[[#This Row],[Position / Title]],Lists!I:K,3,FALSE)),"")</f>
        <v/>
      </c>
      <c r="O258" s="42" t="str">
        <f>IF(ContractorPayroll[[#This Row],[Position / Title]]="","",VLOOKUP(ContractorPayroll[[#This Row],[Position / Title]],Lists!I:K,2,FALSE))</f>
        <v/>
      </c>
      <c r="P258" s="22" t="str">
        <f>IF(D258="","",ContractorPayroll[[#This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8" s="31">
        <f>IFERROR(IF(ContractorPayroll[[#This Row],[Annual Cost of Wage Increase included in Rate Adjustment]]=0,0,R258*'Facility Info Input'!$F$10),0)</f>
        <v>0</v>
      </c>
      <c r="T258" s="32">
        <f t="shared" ref="T258:T321" si="16">IFERROR(J258*R258,0)</f>
        <v>0</v>
      </c>
      <c r="U258" s="32">
        <f t="shared" ref="U258:U321" si="17">IFERROR(K258*R258,0)</f>
        <v>0</v>
      </c>
      <c r="V258" s="32">
        <f t="shared" ref="V258:V321" si="18">IFERROR(IF(H258="Yes",I258*R258,0),0)</f>
        <v>0</v>
      </c>
      <c r="W258" s="32">
        <f t="shared" si="15"/>
        <v>0</v>
      </c>
    </row>
    <row r="259" spans="1:23">
      <c r="A259" s="77"/>
      <c r="B259" s="76"/>
      <c r="C259" s="77"/>
      <c r="D259" s="81"/>
      <c r="E259" s="82"/>
      <c r="F259" s="82"/>
      <c r="G259" s="83"/>
      <c r="H259" s="84"/>
      <c r="I259" s="85"/>
      <c r="J259" s="85"/>
      <c r="K259" s="85"/>
      <c r="L259" s="85"/>
      <c r="M259" s="93" t="e">
        <f>#REF!&amp;" "&amp;ContractorPayroll[[#This Row],[Employee ID Number / Code]]</f>
        <v>#REF!</v>
      </c>
      <c r="N259" s="71" t="str">
        <f>_xlfn.IFNA(IF(C259="","",VLOOKUP(ContractorPayroll[[#This Row],[Position / Title]],Lists!I:K,3,FALSE)),"")</f>
        <v/>
      </c>
      <c r="O259" s="42" t="str">
        <f>IF(ContractorPayroll[[#This Row],[Position / Title]]="","",VLOOKUP(ContractorPayroll[[#This Row],[Position / Title]],Lists!I:K,2,FALSE))</f>
        <v/>
      </c>
      <c r="P259" s="22" t="str">
        <f>IF(D259="","",ContractorPayroll[[#This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5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5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59" s="31">
        <f>IFERROR(IF(ContractorPayroll[[#This Row],[Annual Cost of Wage Increase included in Rate Adjustment]]=0,0,R259*'Facility Info Input'!$F$10),0)</f>
        <v>0</v>
      </c>
      <c r="T259" s="32">
        <f t="shared" si="16"/>
        <v>0</v>
      </c>
      <c r="U259" s="32">
        <f t="shared" si="17"/>
        <v>0</v>
      </c>
      <c r="V259" s="32">
        <f t="shared" si="18"/>
        <v>0</v>
      </c>
      <c r="W259" s="32">
        <f t="shared" ref="W259:W322" si="19">IFERROR(SUM(R259:V259),0)</f>
        <v>0</v>
      </c>
    </row>
    <row r="260" spans="1:23">
      <c r="A260" s="77"/>
      <c r="B260" s="76"/>
      <c r="C260" s="77"/>
      <c r="D260" s="81"/>
      <c r="E260" s="82"/>
      <c r="F260" s="82"/>
      <c r="G260" s="83"/>
      <c r="H260" s="84"/>
      <c r="I260" s="85"/>
      <c r="J260" s="85"/>
      <c r="K260" s="85"/>
      <c r="L260" s="85"/>
      <c r="M260" s="93" t="e">
        <f>#REF!&amp;" "&amp;ContractorPayroll[[#This Row],[Employee ID Number / Code]]</f>
        <v>#REF!</v>
      </c>
      <c r="N260" s="71" t="str">
        <f>_xlfn.IFNA(IF(C260="","",VLOOKUP(ContractorPayroll[[#This Row],[Position / Title]],Lists!I:K,3,FALSE)),"")</f>
        <v/>
      </c>
      <c r="O260" s="42" t="str">
        <f>IF(ContractorPayroll[[#This Row],[Position / Title]]="","",VLOOKUP(ContractorPayroll[[#This Row],[Position / Title]],Lists!I:K,2,FALSE))</f>
        <v/>
      </c>
      <c r="P260" s="22" t="str">
        <f>IF(D260="","",ContractorPayroll[[#This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0" s="31">
        <f>IFERROR(IF(ContractorPayroll[[#This Row],[Annual Cost of Wage Increase included in Rate Adjustment]]=0,0,R260*'Facility Info Input'!$F$10),0)</f>
        <v>0</v>
      </c>
      <c r="T260" s="32">
        <f t="shared" si="16"/>
        <v>0</v>
      </c>
      <c r="U260" s="32">
        <f t="shared" si="17"/>
        <v>0</v>
      </c>
      <c r="V260" s="32">
        <f t="shared" si="18"/>
        <v>0</v>
      </c>
      <c r="W260" s="32">
        <f t="shared" si="19"/>
        <v>0</v>
      </c>
    </row>
    <row r="261" spans="1:23">
      <c r="A261" s="77"/>
      <c r="B261" s="76"/>
      <c r="C261" s="77"/>
      <c r="D261" s="81"/>
      <c r="E261" s="82"/>
      <c r="F261" s="82"/>
      <c r="G261" s="83"/>
      <c r="H261" s="84"/>
      <c r="I261" s="85"/>
      <c r="J261" s="85"/>
      <c r="K261" s="85"/>
      <c r="L261" s="85"/>
      <c r="M261" s="93" t="e">
        <f>#REF!&amp;" "&amp;ContractorPayroll[[#This Row],[Employee ID Number / Code]]</f>
        <v>#REF!</v>
      </c>
      <c r="N261" s="71" t="str">
        <f>_xlfn.IFNA(IF(C261="","",VLOOKUP(ContractorPayroll[[#This Row],[Position / Title]],Lists!I:K,3,FALSE)),"")</f>
        <v/>
      </c>
      <c r="O261" s="42" t="str">
        <f>IF(ContractorPayroll[[#This Row],[Position / Title]]="","",VLOOKUP(ContractorPayroll[[#This Row],[Position / Title]],Lists!I:K,2,FALSE))</f>
        <v/>
      </c>
      <c r="P261" s="22" t="str">
        <f>IF(D261="","",ContractorPayroll[[#This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1" s="31">
        <f>IFERROR(IF(ContractorPayroll[[#This Row],[Annual Cost of Wage Increase included in Rate Adjustment]]=0,0,R261*'Facility Info Input'!$F$10),0)</f>
        <v>0</v>
      </c>
      <c r="T261" s="32">
        <f t="shared" si="16"/>
        <v>0</v>
      </c>
      <c r="U261" s="32">
        <f t="shared" si="17"/>
        <v>0</v>
      </c>
      <c r="V261" s="32">
        <f t="shared" si="18"/>
        <v>0</v>
      </c>
      <c r="W261" s="32">
        <f t="shared" si="19"/>
        <v>0</v>
      </c>
    </row>
    <row r="262" spans="1:23">
      <c r="A262" s="77"/>
      <c r="B262" s="76"/>
      <c r="C262" s="77"/>
      <c r="D262" s="81"/>
      <c r="E262" s="82"/>
      <c r="F262" s="82"/>
      <c r="G262" s="83"/>
      <c r="H262" s="84"/>
      <c r="I262" s="85"/>
      <c r="J262" s="85"/>
      <c r="K262" s="85"/>
      <c r="L262" s="85"/>
      <c r="M262" s="93" t="e">
        <f>#REF!&amp;" "&amp;ContractorPayroll[[#This Row],[Employee ID Number / Code]]</f>
        <v>#REF!</v>
      </c>
      <c r="N262" s="71" t="str">
        <f>_xlfn.IFNA(IF(C262="","",VLOOKUP(ContractorPayroll[[#This Row],[Position / Title]],Lists!I:K,3,FALSE)),"")</f>
        <v/>
      </c>
      <c r="O262" s="42" t="str">
        <f>IF(ContractorPayroll[[#This Row],[Position / Title]]="","",VLOOKUP(ContractorPayroll[[#This Row],[Position / Title]],Lists!I:K,2,FALSE))</f>
        <v/>
      </c>
      <c r="P262" s="22" t="str">
        <f>IF(D262="","",ContractorPayroll[[#This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2" s="31">
        <f>IFERROR(IF(ContractorPayroll[[#This Row],[Annual Cost of Wage Increase included in Rate Adjustment]]=0,0,R262*'Facility Info Input'!$F$10),0)</f>
        <v>0</v>
      </c>
      <c r="T262" s="32">
        <f t="shared" si="16"/>
        <v>0</v>
      </c>
      <c r="U262" s="32">
        <f t="shared" si="17"/>
        <v>0</v>
      </c>
      <c r="V262" s="32">
        <f t="shared" si="18"/>
        <v>0</v>
      </c>
      <c r="W262" s="32">
        <f t="shared" si="19"/>
        <v>0</v>
      </c>
    </row>
    <row r="263" spans="1:23">
      <c r="A263" s="77"/>
      <c r="B263" s="76"/>
      <c r="C263" s="77"/>
      <c r="D263" s="81"/>
      <c r="E263" s="82"/>
      <c r="F263" s="82"/>
      <c r="G263" s="83"/>
      <c r="H263" s="84"/>
      <c r="I263" s="85"/>
      <c r="J263" s="85"/>
      <c r="K263" s="85"/>
      <c r="L263" s="85"/>
      <c r="M263" s="93" t="e">
        <f>#REF!&amp;" "&amp;ContractorPayroll[[#This Row],[Employee ID Number / Code]]</f>
        <v>#REF!</v>
      </c>
      <c r="N263" s="71" t="str">
        <f>_xlfn.IFNA(IF(C263="","",VLOOKUP(ContractorPayroll[[#This Row],[Position / Title]],Lists!I:K,3,FALSE)),"")</f>
        <v/>
      </c>
      <c r="O263" s="42" t="str">
        <f>IF(ContractorPayroll[[#This Row],[Position / Title]]="","",VLOOKUP(ContractorPayroll[[#This Row],[Position / Title]],Lists!I:K,2,FALSE))</f>
        <v/>
      </c>
      <c r="P263" s="22" t="str">
        <f>IF(D263="","",ContractorPayroll[[#This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3" s="31">
        <f>IFERROR(IF(ContractorPayroll[[#This Row],[Annual Cost of Wage Increase included in Rate Adjustment]]=0,0,R263*'Facility Info Input'!$F$10),0)</f>
        <v>0</v>
      </c>
      <c r="T263" s="32">
        <f t="shared" si="16"/>
        <v>0</v>
      </c>
      <c r="U263" s="32">
        <f t="shared" si="17"/>
        <v>0</v>
      </c>
      <c r="V263" s="32">
        <f t="shared" si="18"/>
        <v>0</v>
      </c>
      <c r="W263" s="32">
        <f t="shared" si="19"/>
        <v>0</v>
      </c>
    </row>
    <row r="264" spans="1:23">
      <c r="A264" s="77"/>
      <c r="B264" s="76"/>
      <c r="C264" s="77"/>
      <c r="D264" s="81"/>
      <c r="E264" s="82"/>
      <c r="F264" s="82"/>
      <c r="G264" s="83"/>
      <c r="H264" s="84"/>
      <c r="I264" s="85"/>
      <c r="J264" s="85"/>
      <c r="K264" s="85"/>
      <c r="L264" s="85"/>
      <c r="M264" s="93" t="e">
        <f>#REF!&amp;" "&amp;ContractorPayroll[[#This Row],[Employee ID Number / Code]]</f>
        <v>#REF!</v>
      </c>
      <c r="N264" s="71" t="str">
        <f>_xlfn.IFNA(IF(C264="","",VLOOKUP(ContractorPayroll[[#This Row],[Position / Title]],Lists!I:K,3,FALSE)),"")</f>
        <v/>
      </c>
      <c r="O264" s="42" t="str">
        <f>IF(ContractorPayroll[[#This Row],[Position / Title]]="","",VLOOKUP(ContractorPayroll[[#This Row],[Position / Title]],Lists!I:K,2,FALSE))</f>
        <v/>
      </c>
      <c r="P264" s="22" t="str">
        <f>IF(D264="","",ContractorPayroll[[#This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4" s="31">
        <f>IFERROR(IF(ContractorPayroll[[#This Row],[Annual Cost of Wage Increase included in Rate Adjustment]]=0,0,R264*'Facility Info Input'!$F$10),0)</f>
        <v>0</v>
      </c>
      <c r="T264" s="32">
        <f t="shared" si="16"/>
        <v>0</v>
      </c>
      <c r="U264" s="32">
        <f t="shared" si="17"/>
        <v>0</v>
      </c>
      <c r="V264" s="32">
        <f t="shared" si="18"/>
        <v>0</v>
      </c>
      <c r="W264" s="32">
        <f t="shared" si="19"/>
        <v>0</v>
      </c>
    </row>
    <row r="265" spans="1:23">
      <c r="A265" s="77"/>
      <c r="B265" s="76"/>
      <c r="C265" s="77"/>
      <c r="D265" s="81"/>
      <c r="E265" s="82"/>
      <c r="F265" s="82"/>
      <c r="G265" s="83"/>
      <c r="H265" s="84"/>
      <c r="I265" s="85"/>
      <c r="J265" s="85"/>
      <c r="K265" s="85"/>
      <c r="L265" s="85"/>
      <c r="M265" s="93" t="e">
        <f>#REF!&amp;" "&amp;ContractorPayroll[[#This Row],[Employee ID Number / Code]]</f>
        <v>#REF!</v>
      </c>
      <c r="N265" s="71" t="str">
        <f>_xlfn.IFNA(IF(C265="","",VLOOKUP(ContractorPayroll[[#This Row],[Position / Title]],Lists!I:K,3,FALSE)),"")</f>
        <v/>
      </c>
      <c r="O265" s="42" t="str">
        <f>IF(ContractorPayroll[[#This Row],[Position / Title]]="","",VLOOKUP(ContractorPayroll[[#This Row],[Position / Title]],Lists!I:K,2,FALSE))</f>
        <v/>
      </c>
      <c r="P265" s="22" t="str">
        <f>IF(D265="","",ContractorPayroll[[#This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5" s="31">
        <f>IFERROR(IF(ContractorPayroll[[#This Row],[Annual Cost of Wage Increase included in Rate Adjustment]]=0,0,R265*'Facility Info Input'!$F$10),0)</f>
        <v>0</v>
      </c>
      <c r="T265" s="32">
        <f t="shared" si="16"/>
        <v>0</v>
      </c>
      <c r="U265" s="32">
        <f t="shared" si="17"/>
        <v>0</v>
      </c>
      <c r="V265" s="32">
        <f t="shared" si="18"/>
        <v>0</v>
      </c>
      <c r="W265" s="32">
        <f t="shared" si="19"/>
        <v>0</v>
      </c>
    </row>
    <row r="266" spans="1:23">
      <c r="A266" s="77"/>
      <c r="B266" s="76"/>
      <c r="C266" s="77"/>
      <c r="D266" s="81"/>
      <c r="E266" s="82"/>
      <c r="F266" s="82"/>
      <c r="G266" s="83"/>
      <c r="H266" s="84"/>
      <c r="I266" s="85"/>
      <c r="J266" s="85"/>
      <c r="K266" s="85"/>
      <c r="L266" s="85"/>
      <c r="M266" s="93" t="e">
        <f>#REF!&amp;" "&amp;ContractorPayroll[[#This Row],[Employee ID Number / Code]]</f>
        <v>#REF!</v>
      </c>
      <c r="N266" s="71" t="str">
        <f>_xlfn.IFNA(IF(C266="","",VLOOKUP(ContractorPayroll[[#This Row],[Position / Title]],Lists!I:K,3,FALSE)),"")</f>
        <v/>
      </c>
      <c r="O266" s="42" t="str">
        <f>IF(ContractorPayroll[[#This Row],[Position / Title]]="","",VLOOKUP(ContractorPayroll[[#This Row],[Position / Title]],Lists!I:K,2,FALSE))</f>
        <v/>
      </c>
      <c r="P266" s="22" t="str">
        <f>IF(D266="","",ContractorPayroll[[#This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6" s="31">
        <f>IFERROR(IF(ContractorPayroll[[#This Row],[Annual Cost of Wage Increase included in Rate Adjustment]]=0,0,R266*'Facility Info Input'!$F$10),0)</f>
        <v>0</v>
      </c>
      <c r="T266" s="32">
        <f t="shared" si="16"/>
        <v>0</v>
      </c>
      <c r="U266" s="32">
        <f t="shared" si="17"/>
        <v>0</v>
      </c>
      <c r="V266" s="32">
        <f t="shared" si="18"/>
        <v>0</v>
      </c>
      <c r="W266" s="32">
        <f t="shared" si="19"/>
        <v>0</v>
      </c>
    </row>
    <row r="267" spans="1:23">
      <c r="A267" s="77"/>
      <c r="B267" s="76"/>
      <c r="C267" s="77"/>
      <c r="D267" s="81"/>
      <c r="E267" s="82"/>
      <c r="F267" s="82"/>
      <c r="G267" s="83"/>
      <c r="H267" s="84"/>
      <c r="I267" s="85"/>
      <c r="J267" s="85"/>
      <c r="K267" s="85"/>
      <c r="L267" s="85"/>
      <c r="M267" s="93" t="e">
        <f>#REF!&amp;" "&amp;ContractorPayroll[[#This Row],[Employee ID Number / Code]]</f>
        <v>#REF!</v>
      </c>
      <c r="N267" s="71" t="str">
        <f>_xlfn.IFNA(IF(C267="","",VLOOKUP(ContractorPayroll[[#This Row],[Position / Title]],Lists!I:K,3,FALSE)),"")</f>
        <v/>
      </c>
      <c r="O267" s="42" t="str">
        <f>IF(ContractorPayroll[[#This Row],[Position / Title]]="","",VLOOKUP(ContractorPayroll[[#This Row],[Position / Title]],Lists!I:K,2,FALSE))</f>
        <v/>
      </c>
      <c r="P267" s="22" t="str">
        <f>IF(D267="","",ContractorPayroll[[#This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7" s="31">
        <f>IFERROR(IF(ContractorPayroll[[#This Row],[Annual Cost of Wage Increase included in Rate Adjustment]]=0,0,R267*'Facility Info Input'!$F$10),0)</f>
        <v>0</v>
      </c>
      <c r="T267" s="32">
        <f t="shared" si="16"/>
        <v>0</v>
      </c>
      <c r="U267" s="32">
        <f t="shared" si="17"/>
        <v>0</v>
      </c>
      <c r="V267" s="32">
        <f t="shared" si="18"/>
        <v>0</v>
      </c>
      <c r="W267" s="32">
        <f t="shared" si="19"/>
        <v>0</v>
      </c>
    </row>
    <row r="268" spans="1:23">
      <c r="A268" s="77"/>
      <c r="B268" s="76"/>
      <c r="C268" s="77"/>
      <c r="D268" s="81"/>
      <c r="E268" s="82"/>
      <c r="F268" s="82"/>
      <c r="G268" s="83"/>
      <c r="H268" s="84"/>
      <c r="I268" s="85"/>
      <c r="J268" s="85"/>
      <c r="K268" s="85"/>
      <c r="L268" s="85"/>
      <c r="M268" s="93" t="e">
        <f>#REF!&amp;" "&amp;ContractorPayroll[[#This Row],[Employee ID Number / Code]]</f>
        <v>#REF!</v>
      </c>
      <c r="N268" s="71" t="str">
        <f>_xlfn.IFNA(IF(C268="","",VLOOKUP(ContractorPayroll[[#This Row],[Position / Title]],Lists!I:K,3,FALSE)),"")</f>
        <v/>
      </c>
      <c r="O268" s="42" t="str">
        <f>IF(ContractorPayroll[[#This Row],[Position / Title]]="","",VLOOKUP(ContractorPayroll[[#This Row],[Position / Title]],Lists!I:K,2,FALSE))</f>
        <v/>
      </c>
      <c r="P268" s="22" t="str">
        <f>IF(D268="","",ContractorPayroll[[#This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8" s="31">
        <f>IFERROR(IF(ContractorPayroll[[#This Row],[Annual Cost of Wage Increase included in Rate Adjustment]]=0,0,R268*'Facility Info Input'!$F$10),0)</f>
        <v>0</v>
      </c>
      <c r="T268" s="32">
        <f t="shared" si="16"/>
        <v>0</v>
      </c>
      <c r="U268" s="32">
        <f t="shared" si="17"/>
        <v>0</v>
      </c>
      <c r="V268" s="32">
        <f t="shared" si="18"/>
        <v>0</v>
      </c>
      <c r="W268" s="32">
        <f t="shared" si="19"/>
        <v>0</v>
      </c>
    </row>
    <row r="269" spans="1:23">
      <c r="A269" s="77"/>
      <c r="B269" s="76"/>
      <c r="C269" s="77"/>
      <c r="D269" s="81"/>
      <c r="E269" s="82"/>
      <c r="F269" s="82"/>
      <c r="G269" s="83"/>
      <c r="H269" s="84"/>
      <c r="I269" s="85"/>
      <c r="J269" s="85"/>
      <c r="K269" s="85"/>
      <c r="L269" s="85"/>
      <c r="M269" s="93" t="e">
        <f>#REF!&amp;" "&amp;ContractorPayroll[[#This Row],[Employee ID Number / Code]]</f>
        <v>#REF!</v>
      </c>
      <c r="N269" s="71" t="str">
        <f>_xlfn.IFNA(IF(C269="","",VLOOKUP(ContractorPayroll[[#This Row],[Position / Title]],Lists!I:K,3,FALSE)),"")</f>
        <v/>
      </c>
      <c r="O269" s="42" t="str">
        <f>IF(ContractorPayroll[[#This Row],[Position / Title]]="","",VLOOKUP(ContractorPayroll[[#This Row],[Position / Title]],Lists!I:K,2,FALSE))</f>
        <v/>
      </c>
      <c r="P269" s="22" t="str">
        <f>IF(D269="","",ContractorPayroll[[#This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6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6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69" s="31">
        <f>IFERROR(IF(ContractorPayroll[[#This Row],[Annual Cost of Wage Increase included in Rate Adjustment]]=0,0,R269*'Facility Info Input'!$F$10),0)</f>
        <v>0</v>
      </c>
      <c r="T269" s="32">
        <f t="shared" si="16"/>
        <v>0</v>
      </c>
      <c r="U269" s="32">
        <f t="shared" si="17"/>
        <v>0</v>
      </c>
      <c r="V269" s="32">
        <f t="shared" si="18"/>
        <v>0</v>
      </c>
      <c r="W269" s="32">
        <f t="shared" si="19"/>
        <v>0</v>
      </c>
    </row>
    <row r="270" spans="1:23">
      <c r="A270" s="77"/>
      <c r="B270" s="76"/>
      <c r="C270" s="77"/>
      <c r="D270" s="81"/>
      <c r="E270" s="82"/>
      <c r="F270" s="82"/>
      <c r="G270" s="83"/>
      <c r="H270" s="84"/>
      <c r="I270" s="85"/>
      <c r="J270" s="85"/>
      <c r="K270" s="85"/>
      <c r="L270" s="85"/>
      <c r="M270" s="93" t="e">
        <f>#REF!&amp;" "&amp;ContractorPayroll[[#This Row],[Employee ID Number / Code]]</f>
        <v>#REF!</v>
      </c>
      <c r="N270" s="71" t="str">
        <f>_xlfn.IFNA(IF(C270="","",VLOOKUP(ContractorPayroll[[#This Row],[Position / Title]],Lists!I:K,3,FALSE)),"")</f>
        <v/>
      </c>
      <c r="O270" s="42" t="str">
        <f>IF(ContractorPayroll[[#This Row],[Position / Title]]="","",VLOOKUP(ContractorPayroll[[#This Row],[Position / Title]],Lists!I:K,2,FALSE))</f>
        <v/>
      </c>
      <c r="P270" s="22" t="str">
        <f>IF(D270="","",ContractorPayroll[[#This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0" s="31">
        <f>IFERROR(IF(ContractorPayroll[[#This Row],[Annual Cost of Wage Increase included in Rate Adjustment]]=0,0,R270*'Facility Info Input'!$F$10),0)</f>
        <v>0</v>
      </c>
      <c r="T270" s="32">
        <f t="shared" si="16"/>
        <v>0</v>
      </c>
      <c r="U270" s="32">
        <f t="shared" si="17"/>
        <v>0</v>
      </c>
      <c r="V270" s="32">
        <f t="shared" si="18"/>
        <v>0</v>
      </c>
      <c r="W270" s="32">
        <f t="shared" si="19"/>
        <v>0</v>
      </c>
    </row>
    <row r="271" spans="1:23">
      <c r="A271" s="77"/>
      <c r="B271" s="76"/>
      <c r="C271" s="77"/>
      <c r="D271" s="81"/>
      <c r="E271" s="82"/>
      <c r="F271" s="82"/>
      <c r="G271" s="83"/>
      <c r="H271" s="84"/>
      <c r="I271" s="85"/>
      <c r="J271" s="85"/>
      <c r="K271" s="85"/>
      <c r="L271" s="85"/>
      <c r="M271" s="93" t="e">
        <f>#REF!&amp;" "&amp;ContractorPayroll[[#This Row],[Employee ID Number / Code]]</f>
        <v>#REF!</v>
      </c>
      <c r="N271" s="71" t="str">
        <f>_xlfn.IFNA(IF(C271="","",VLOOKUP(ContractorPayroll[[#This Row],[Position / Title]],Lists!I:K,3,FALSE)),"")</f>
        <v/>
      </c>
      <c r="O271" s="42" t="str">
        <f>IF(ContractorPayroll[[#This Row],[Position / Title]]="","",VLOOKUP(ContractorPayroll[[#This Row],[Position / Title]],Lists!I:K,2,FALSE))</f>
        <v/>
      </c>
      <c r="P271" s="22" t="str">
        <f>IF(D271="","",ContractorPayroll[[#This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1" s="31">
        <f>IFERROR(IF(ContractorPayroll[[#This Row],[Annual Cost of Wage Increase included in Rate Adjustment]]=0,0,R271*'Facility Info Input'!$F$10),0)</f>
        <v>0</v>
      </c>
      <c r="T271" s="32">
        <f t="shared" si="16"/>
        <v>0</v>
      </c>
      <c r="U271" s="32">
        <f t="shared" si="17"/>
        <v>0</v>
      </c>
      <c r="V271" s="32">
        <f t="shared" si="18"/>
        <v>0</v>
      </c>
      <c r="W271" s="32">
        <f t="shared" si="19"/>
        <v>0</v>
      </c>
    </row>
    <row r="272" spans="1:23">
      <c r="A272" s="77"/>
      <c r="B272" s="76"/>
      <c r="C272" s="77"/>
      <c r="D272" s="81"/>
      <c r="E272" s="82"/>
      <c r="F272" s="82"/>
      <c r="G272" s="83"/>
      <c r="H272" s="84"/>
      <c r="I272" s="85"/>
      <c r="J272" s="85"/>
      <c r="K272" s="85"/>
      <c r="L272" s="85"/>
      <c r="M272" s="93" t="e">
        <f>#REF!&amp;" "&amp;ContractorPayroll[[#This Row],[Employee ID Number / Code]]</f>
        <v>#REF!</v>
      </c>
      <c r="N272" s="71" t="str">
        <f>_xlfn.IFNA(IF(C272="","",VLOOKUP(ContractorPayroll[[#This Row],[Position / Title]],Lists!I:K,3,FALSE)),"")</f>
        <v/>
      </c>
      <c r="O272" s="42" t="str">
        <f>IF(ContractorPayroll[[#This Row],[Position / Title]]="","",VLOOKUP(ContractorPayroll[[#This Row],[Position / Title]],Lists!I:K,2,FALSE))</f>
        <v/>
      </c>
      <c r="P272" s="22" t="str">
        <f>IF(D272="","",ContractorPayroll[[#This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2" s="31">
        <f>IFERROR(IF(ContractorPayroll[[#This Row],[Annual Cost of Wage Increase included in Rate Adjustment]]=0,0,R272*'Facility Info Input'!$F$10),0)</f>
        <v>0</v>
      </c>
      <c r="T272" s="32">
        <f t="shared" si="16"/>
        <v>0</v>
      </c>
      <c r="U272" s="32">
        <f t="shared" si="17"/>
        <v>0</v>
      </c>
      <c r="V272" s="32">
        <f t="shared" si="18"/>
        <v>0</v>
      </c>
      <c r="W272" s="32">
        <f t="shared" si="19"/>
        <v>0</v>
      </c>
    </row>
    <row r="273" spans="1:23">
      <c r="A273" s="77"/>
      <c r="B273" s="76"/>
      <c r="C273" s="77"/>
      <c r="D273" s="81"/>
      <c r="E273" s="82"/>
      <c r="F273" s="82"/>
      <c r="G273" s="83"/>
      <c r="H273" s="84"/>
      <c r="I273" s="85"/>
      <c r="J273" s="85"/>
      <c r="K273" s="85"/>
      <c r="L273" s="85"/>
      <c r="M273" s="93" t="e">
        <f>#REF!&amp;" "&amp;ContractorPayroll[[#This Row],[Employee ID Number / Code]]</f>
        <v>#REF!</v>
      </c>
      <c r="N273" s="71" t="str">
        <f>_xlfn.IFNA(IF(C273="","",VLOOKUP(ContractorPayroll[[#This Row],[Position / Title]],Lists!I:K,3,FALSE)),"")</f>
        <v/>
      </c>
      <c r="O273" s="42" t="str">
        <f>IF(ContractorPayroll[[#This Row],[Position / Title]]="","",VLOOKUP(ContractorPayroll[[#This Row],[Position / Title]],Lists!I:K,2,FALSE))</f>
        <v/>
      </c>
      <c r="P273" s="22" t="str">
        <f>IF(D273="","",ContractorPayroll[[#This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3" s="31">
        <f>IFERROR(IF(ContractorPayroll[[#This Row],[Annual Cost of Wage Increase included in Rate Adjustment]]=0,0,R273*'Facility Info Input'!$F$10),0)</f>
        <v>0</v>
      </c>
      <c r="T273" s="32">
        <f t="shared" si="16"/>
        <v>0</v>
      </c>
      <c r="U273" s="32">
        <f t="shared" si="17"/>
        <v>0</v>
      </c>
      <c r="V273" s="32">
        <f t="shared" si="18"/>
        <v>0</v>
      </c>
      <c r="W273" s="32">
        <f t="shared" si="19"/>
        <v>0</v>
      </c>
    </row>
    <row r="274" spans="1:23">
      <c r="A274" s="77"/>
      <c r="B274" s="76"/>
      <c r="C274" s="77"/>
      <c r="D274" s="81"/>
      <c r="E274" s="82"/>
      <c r="F274" s="82"/>
      <c r="G274" s="83"/>
      <c r="H274" s="84"/>
      <c r="I274" s="85"/>
      <c r="J274" s="85"/>
      <c r="K274" s="85"/>
      <c r="L274" s="85"/>
      <c r="M274" s="93" t="e">
        <f>#REF!&amp;" "&amp;ContractorPayroll[[#This Row],[Employee ID Number / Code]]</f>
        <v>#REF!</v>
      </c>
      <c r="N274" s="71" t="str">
        <f>_xlfn.IFNA(IF(C274="","",VLOOKUP(ContractorPayroll[[#This Row],[Position / Title]],Lists!I:K,3,FALSE)),"")</f>
        <v/>
      </c>
      <c r="O274" s="42" t="str">
        <f>IF(ContractorPayroll[[#This Row],[Position / Title]]="","",VLOOKUP(ContractorPayroll[[#This Row],[Position / Title]],Lists!I:K,2,FALSE))</f>
        <v/>
      </c>
      <c r="P274" s="22" t="str">
        <f>IF(D274="","",ContractorPayroll[[#This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4" s="31">
        <f>IFERROR(IF(ContractorPayroll[[#This Row],[Annual Cost of Wage Increase included in Rate Adjustment]]=0,0,R274*'Facility Info Input'!$F$10),0)</f>
        <v>0</v>
      </c>
      <c r="T274" s="32">
        <f t="shared" si="16"/>
        <v>0</v>
      </c>
      <c r="U274" s="32">
        <f t="shared" si="17"/>
        <v>0</v>
      </c>
      <c r="V274" s="32">
        <f t="shared" si="18"/>
        <v>0</v>
      </c>
      <c r="W274" s="32">
        <f t="shared" si="19"/>
        <v>0</v>
      </c>
    </row>
    <row r="275" spans="1:23">
      <c r="A275" s="77"/>
      <c r="B275" s="76"/>
      <c r="C275" s="77"/>
      <c r="D275" s="81"/>
      <c r="E275" s="82"/>
      <c r="F275" s="82"/>
      <c r="G275" s="83"/>
      <c r="H275" s="84"/>
      <c r="I275" s="85"/>
      <c r="J275" s="85"/>
      <c r="K275" s="85"/>
      <c r="L275" s="85"/>
      <c r="M275" s="93" t="e">
        <f>#REF!&amp;" "&amp;ContractorPayroll[[#This Row],[Employee ID Number / Code]]</f>
        <v>#REF!</v>
      </c>
      <c r="N275" s="71" t="str">
        <f>_xlfn.IFNA(IF(C275="","",VLOOKUP(ContractorPayroll[[#This Row],[Position / Title]],Lists!I:K,3,FALSE)),"")</f>
        <v/>
      </c>
      <c r="O275" s="42" t="str">
        <f>IF(ContractorPayroll[[#This Row],[Position / Title]]="","",VLOOKUP(ContractorPayroll[[#This Row],[Position / Title]],Lists!I:K,2,FALSE))</f>
        <v/>
      </c>
      <c r="P275" s="22" t="str">
        <f>IF(D275="","",ContractorPayroll[[#This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5" s="31">
        <f>IFERROR(IF(ContractorPayroll[[#This Row],[Annual Cost of Wage Increase included in Rate Adjustment]]=0,0,R275*'Facility Info Input'!$F$10),0)</f>
        <v>0</v>
      </c>
      <c r="T275" s="32">
        <f t="shared" si="16"/>
        <v>0</v>
      </c>
      <c r="U275" s="32">
        <f t="shared" si="17"/>
        <v>0</v>
      </c>
      <c r="V275" s="32">
        <f t="shared" si="18"/>
        <v>0</v>
      </c>
      <c r="W275" s="32">
        <f t="shared" si="19"/>
        <v>0</v>
      </c>
    </row>
    <row r="276" spans="1:23">
      <c r="A276" s="77"/>
      <c r="B276" s="76"/>
      <c r="C276" s="77"/>
      <c r="D276" s="81"/>
      <c r="E276" s="82"/>
      <c r="F276" s="82"/>
      <c r="G276" s="83"/>
      <c r="H276" s="84"/>
      <c r="I276" s="85"/>
      <c r="J276" s="85"/>
      <c r="K276" s="85"/>
      <c r="L276" s="85"/>
      <c r="M276" s="93" t="e">
        <f>#REF!&amp;" "&amp;ContractorPayroll[[#This Row],[Employee ID Number / Code]]</f>
        <v>#REF!</v>
      </c>
      <c r="N276" s="71" t="str">
        <f>_xlfn.IFNA(IF(C276="","",VLOOKUP(ContractorPayroll[[#This Row],[Position / Title]],Lists!I:K,3,FALSE)),"")</f>
        <v/>
      </c>
      <c r="O276" s="42" t="str">
        <f>IF(ContractorPayroll[[#This Row],[Position / Title]]="","",VLOOKUP(ContractorPayroll[[#This Row],[Position / Title]],Lists!I:K,2,FALSE))</f>
        <v/>
      </c>
      <c r="P276" s="22" t="str">
        <f>IF(D276="","",ContractorPayroll[[#This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6" s="31">
        <f>IFERROR(IF(ContractorPayroll[[#This Row],[Annual Cost of Wage Increase included in Rate Adjustment]]=0,0,R276*'Facility Info Input'!$F$10),0)</f>
        <v>0</v>
      </c>
      <c r="T276" s="32">
        <f t="shared" si="16"/>
        <v>0</v>
      </c>
      <c r="U276" s="32">
        <f t="shared" si="17"/>
        <v>0</v>
      </c>
      <c r="V276" s="32">
        <f t="shared" si="18"/>
        <v>0</v>
      </c>
      <c r="W276" s="32">
        <f t="shared" si="19"/>
        <v>0</v>
      </c>
    </row>
    <row r="277" spans="1:23">
      <c r="A277" s="77"/>
      <c r="B277" s="76"/>
      <c r="C277" s="77"/>
      <c r="D277" s="81"/>
      <c r="E277" s="82"/>
      <c r="F277" s="82"/>
      <c r="G277" s="83"/>
      <c r="H277" s="84"/>
      <c r="I277" s="85"/>
      <c r="J277" s="85"/>
      <c r="K277" s="85"/>
      <c r="L277" s="85"/>
      <c r="M277" s="93" t="e">
        <f>#REF!&amp;" "&amp;ContractorPayroll[[#This Row],[Employee ID Number / Code]]</f>
        <v>#REF!</v>
      </c>
      <c r="N277" s="71" t="str">
        <f>_xlfn.IFNA(IF(C277="","",VLOOKUP(ContractorPayroll[[#This Row],[Position / Title]],Lists!I:K,3,FALSE)),"")</f>
        <v/>
      </c>
      <c r="O277" s="42" t="str">
        <f>IF(ContractorPayroll[[#This Row],[Position / Title]]="","",VLOOKUP(ContractorPayroll[[#This Row],[Position / Title]],Lists!I:K,2,FALSE))</f>
        <v/>
      </c>
      <c r="P277" s="22" t="str">
        <f>IF(D277="","",ContractorPayroll[[#This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7" s="31">
        <f>IFERROR(IF(ContractorPayroll[[#This Row],[Annual Cost of Wage Increase included in Rate Adjustment]]=0,0,R277*'Facility Info Input'!$F$10),0)</f>
        <v>0</v>
      </c>
      <c r="T277" s="32">
        <f t="shared" si="16"/>
        <v>0</v>
      </c>
      <c r="U277" s="32">
        <f t="shared" si="17"/>
        <v>0</v>
      </c>
      <c r="V277" s="32">
        <f t="shared" si="18"/>
        <v>0</v>
      </c>
      <c r="W277" s="32">
        <f t="shared" si="19"/>
        <v>0</v>
      </c>
    </row>
    <row r="278" spans="1:23">
      <c r="A278" s="77"/>
      <c r="B278" s="76"/>
      <c r="C278" s="77"/>
      <c r="D278" s="81"/>
      <c r="E278" s="82"/>
      <c r="F278" s="82"/>
      <c r="G278" s="83"/>
      <c r="H278" s="84"/>
      <c r="I278" s="85"/>
      <c r="J278" s="85"/>
      <c r="K278" s="85"/>
      <c r="L278" s="85"/>
      <c r="M278" s="93" t="e">
        <f>#REF!&amp;" "&amp;ContractorPayroll[[#This Row],[Employee ID Number / Code]]</f>
        <v>#REF!</v>
      </c>
      <c r="N278" s="71" t="str">
        <f>_xlfn.IFNA(IF(C278="","",VLOOKUP(ContractorPayroll[[#This Row],[Position / Title]],Lists!I:K,3,FALSE)),"")</f>
        <v/>
      </c>
      <c r="O278" s="42" t="str">
        <f>IF(ContractorPayroll[[#This Row],[Position / Title]]="","",VLOOKUP(ContractorPayroll[[#This Row],[Position / Title]],Lists!I:K,2,FALSE))</f>
        <v/>
      </c>
      <c r="P278" s="22" t="str">
        <f>IF(D278="","",ContractorPayroll[[#This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8" s="31">
        <f>IFERROR(IF(ContractorPayroll[[#This Row],[Annual Cost of Wage Increase included in Rate Adjustment]]=0,0,R278*'Facility Info Input'!$F$10),0)</f>
        <v>0</v>
      </c>
      <c r="T278" s="32">
        <f t="shared" si="16"/>
        <v>0</v>
      </c>
      <c r="U278" s="32">
        <f t="shared" si="17"/>
        <v>0</v>
      </c>
      <c r="V278" s="32">
        <f t="shared" si="18"/>
        <v>0</v>
      </c>
      <c r="W278" s="32">
        <f t="shared" si="19"/>
        <v>0</v>
      </c>
    </row>
    <row r="279" spans="1:23">
      <c r="A279" s="77"/>
      <c r="B279" s="76"/>
      <c r="C279" s="77"/>
      <c r="D279" s="81"/>
      <c r="E279" s="82"/>
      <c r="F279" s="82"/>
      <c r="G279" s="83"/>
      <c r="H279" s="84"/>
      <c r="I279" s="85"/>
      <c r="J279" s="85"/>
      <c r="K279" s="85"/>
      <c r="L279" s="85"/>
      <c r="M279" s="93" t="e">
        <f>#REF!&amp;" "&amp;ContractorPayroll[[#This Row],[Employee ID Number / Code]]</f>
        <v>#REF!</v>
      </c>
      <c r="N279" s="71" t="str">
        <f>_xlfn.IFNA(IF(C279="","",VLOOKUP(ContractorPayroll[[#This Row],[Position / Title]],Lists!I:K,3,FALSE)),"")</f>
        <v/>
      </c>
      <c r="O279" s="42" t="str">
        <f>IF(ContractorPayroll[[#This Row],[Position / Title]]="","",VLOOKUP(ContractorPayroll[[#This Row],[Position / Title]],Lists!I:K,2,FALSE))</f>
        <v/>
      </c>
      <c r="P279" s="22" t="str">
        <f>IF(D279="","",ContractorPayroll[[#This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7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7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79" s="31">
        <f>IFERROR(IF(ContractorPayroll[[#This Row],[Annual Cost of Wage Increase included in Rate Adjustment]]=0,0,R279*'Facility Info Input'!$F$10),0)</f>
        <v>0</v>
      </c>
      <c r="T279" s="32">
        <f t="shared" si="16"/>
        <v>0</v>
      </c>
      <c r="U279" s="32">
        <f t="shared" si="17"/>
        <v>0</v>
      </c>
      <c r="V279" s="32">
        <f t="shared" si="18"/>
        <v>0</v>
      </c>
      <c r="W279" s="32">
        <f t="shared" si="19"/>
        <v>0</v>
      </c>
    </row>
    <row r="280" spans="1:23">
      <c r="A280" s="77"/>
      <c r="B280" s="76"/>
      <c r="C280" s="77"/>
      <c r="D280" s="81"/>
      <c r="E280" s="82"/>
      <c r="F280" s="82"/>
      <c r="G280" s="83"/>
      <c r="H280" s="84"/>
      <c r="I280" s="85"/>
      <c r="J280" s="85"/>
      <c r="K280" s="85"/>
      <c r="L280" s="85"/>
      <c r="M280" s="93" t="e">
        <f>#REF!&amp;" "&amp;ContractorPayroll[[#This Row],[Employee ID Number / Code]]</f>
        <v>#REF!</v>
      </c>
      <c r="N280" s="71" t="str">
        <f>_xlfn.IFNA(IF(C280="","",VLOOKUP(ContractorPayroll[[#This Row],[Position / Title]],Lists!I:K,3,FALSE)),"")</f>
        <v/>
      </c>
      <c r="O280" s="42" t="str">
        <f>IF(ContractorPayroll[[#This Row],[Position / Title]]="","",VLOOKUP(ContractorPayroll[[#This Row],[Position / Title]],Lists!I:K,2,FALSE))</f>
        <v/>
      </c>
      <c r="P280" s="22" t="str">
        <f>IF(D280="","",ContractorPayroll[[#This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0" s="31">
        <f>IFERROR(IF(ContractorPayroll[[#This Row],[Annual Cost of Wage Increase included in Rate Adjustment]]=0,0,R280*'Facility Info Input'!$F$10),0)</f>
        <v>0</v>
      </c>
      <c r="T280" s="32">
        <f t="shared" si="16"/>
        <v>0</v>
      </c>
      <c r="U280" s="32">
        <f t="shared" si="17"/>
        <v>0</v>
      </c>
      <c r="V280" s="32">
        <f t="shared" si="18"/>
        <v>0</v>
      </c>
      <c r="W280" s="32">
        <f t="shared" si="19"/>
        <v>0</v>
      </c>
    </row>
    <row r="281" spans="1:23">
      <c r="A281" s="77"/>
      <c r="B281" s="76"/>
      <c r="C281" s="77"/>
      <c r="D281" s="81"/>
      <c r="E281" s="82"/>
      <c r="F281" s="82"/>
      <c r="G281" s="83"/>
      <c r="H281" s="84"/>
      <c r="I281" s="85"/>
      <c r="J281" s="85"/>
      <c r="K281" s="85"/>
      <c r="L281" s="85"/>
      <c r="M281" s="93" t="e">
        <f>#REF!&amp;" "&amp;ContractorPayroll[[#This Row],[Employee ID Number / Code]]</f>
        <v>#REF!</v>
      </c>
      <c r="N281" s="71" t="str">
        <f>_xlfn.IFNA(IF(C281="","",VLOOKUP(ContractorPayroll[[#This Row],[Position / Title]],Lists!I:K,3,FALSE)),"")</f>
        <v/>
      </c>
      <c r="O281" s="42" t="str">
        <f>IF(ContractorPayroll[[#This Row],[Position / Title]]="","",VLOOKUP(ContractorPayroll[[#This Row],[Position / Title]],Lists!I:K,2,FALSE))</f>
        <v/>
      </c>
      <c r="P281" s="22" t="str">
        <f>IF(D281="","",ContractorPayroll[[#This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1" s="31">
        <f>IFERROR(IF(ContractorPayroll[[#This Row],[Annual Cost of Wage Increase included in Rate Adjustment]]=0,0,R281*'Facility Info Input'!$F$10),0)</f>
        <v>0</v>
      </c>
      <c r="T281" s="32">
        <f t="shared" si="16"/>
        <v>0</v>
      </c>
      <c r="U281" s="32">
        <f t="shared" si="17"/>
        <v>0</v>
      </c>
      <c r="V281" s="32">
        <f t="shared" si="18"/>
        <v>0</v>
      </c>
      <c r="W281" s="32">
        <f t="shared" si="19"/>
        <v>0</v>
      </c>
    </row>
    <row r="282" spans="1:23">
      <c r="A282" s="77"/>
      <c r="B282" s="76"/>
      <c r="C282" s="77"/>
      <c r="D282" s="81"/>
      <c r="E282" s="82"/>
      <c r="F282" s="82"/>
      <c r="G282" s="83"/>
      <c r="H282" s="84"/>
      <c r="I282" s="85"/>
      <c r="J282" s="85"/>
      <c r="K282" s="85"/>
      <c r="L282" s="85"/>
      <c r="M282" s="93" t="e">
        <f>#REF!&amp;" "&amp;ContractorPayroll[[#This Row],[Employee ID Number / Code]]</f>
        <v>#REF!</v>
      </c>
      <c r="N282" s="71" t="str">
        <f>_xlfn.IFNA(IF(C282="","",VLOOKUP(ContractorPayroll[[#This Row],[Position / Title]],Lists!I:K,3,FALSE)),"")</f>
        <v/>
      </c>
      <c r="O282" s="42" t="str">
        <f>IF(ContractorPayroll[[#This Row],[Position / Title]]="","",VLOOKUP(ContractorPayroll[[#This Row],[Position / Title]],Lists!I:K,2,FALSE))</f>
        <v/>
      </c>
      <c r="P282" s="22" t="str">
        <f>IF(D282="","",ContractorPayroll[[#This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2" s="31">
        <f>IFERROR(IF(ContractorPayroll[[#This Row],[Annual Cost of Wage Increase included in Rate Adjustment]]=0,0,R282*'Facility Info Input'!$F$10),0)</f>
        <v>0</v>
      </c>
      <c r="T282" s="32">
        <f t="shared" si="16"/>
        <v>0</v>
      </c>
      <c r="U282" s="32">
        <f t="shared" si="17"/>
        <v>0</v>
      </c>
      <c r="V282" s="32">
        <f t="shared" si="18"/>
        <v>0</v>
      </c>
      <c r="W282" s="32">
        <f t="shared" si="19"/>
        <v>0</v>
      </c>
    </row>
    <row r="283" spans="1:23">
      <c r="A283" s="77"/>
      <c r="B283" s="76"/>
      <c r="C283" s="77"/>
      <c r="D283" s="81"/>
      <c r="E283" s="82"/>
      <c r="F283" s="82"/>
      <c r="G283" s="83"/>
      <c r="H283" s="84"/>
      <c r="I283" s="85"/>
      <c r="J283" s="85"/>
      <c r="K283" s="85"/>
      <c r="L283" s="85"/>
      <c r="M283" s="93" t="e">
        <f>#REF!&amp;" "&amp;ContractorPayroll[[#This Row],[Employee ID Number / Code]]</f>
        <v>#REF!</v>
      </c>
      <c r="N283" s="71" t="str">
        <f>_xlfn.IFNA(IF(C283="","",VLOOKUP(ContractorPayroll[[#This Row],[Position / Title]],Lists!I:K,3,FALSE)),"")</f>
        <v/>
      </c>
      <c r="O283" s="42" t="str">
        <f>IF(ContractorPayroll[[#This Row],[Position / Title]]="","",VLOOKUP(ContractorPayroll[[#This Row],[Position / Title]],Lists!I:K,2,FALSE))</f>
        <v/>
      </c>
      <c r="P283" s="22" t="str">
        <f>IF(D283="","",ContractorPayroll[[#This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3" s="31">
        <f>IFERROR(IF(ContractorPayroll[[#This Row],[Annual Cost of Wage Increase included in Rate Adjustment]]=0,0,R283*'Facility Info Input'!$F$10),0)</f>
        <v>0</v>
      </c>
      <c r="T283" s="32">
        <f t="shared" si="16"/>
        <v>0</v>
      </c>
      <c r="U283" s="32">
        <f t="shared" si="17"/>
        <v>0</v>
      </c>
      <c r="V283" s="32">
        <f t="shared" si="18"/>
        <v>0</v>
      </c>
      <c r="W283" s="32">
        <f t="shared" si="19"/>
        <v>0</v>
      </c>
    </row>
    <row r="284" spans="1:23">
      <c r="A284" s="77"/>
      <c r="B284" s="76"/>
      <c r="C284" s="77"/>
      <c r="D284" s="81"/>
      <c r="E284" s="82"/>
      <c r="F284" s="82"/>
      <c r="G284" s="83"/>
      <c r="H284" s="84"/>
      <c r="I284" s="85"/>
      <c r="J284" s="85"/>
      <c r="K284" s="85"/>
      <c r="L284" s="85"/>
      <c r="M284" s="93" t="e">
        <f>#REF!&amp;" "&amp;ContractorPayroll[[#This Row],[Employee ID Number / Code]]</f>
        <v>#REF!</v>
      </c>
      <c r="N284" s="71" t="str">
        <f>_xlfn.IFNA(IF(C284="","",VLOOKUP(ContractorPayroll[[#This Row],[Position / Title]],Lists!I:K,3,FALSE)),"")</f>
        <v/>
      </c>
      <c r="O284" s="42" t="str">
        <f>IF(ContractorPayroll[[#This Row],[Position / Title]]="","",VLOOKUP(ContractorPayroll[[#This Row],[Position / Title]],Lists!I:K,2,FALSE))</f>
        <v/>
      </c>
      <c r="P284" s="22" t="str">
        <f>IF(D284="","",ContractorPayroll[[#This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4" s="31">
        <f>IFERROR(IF(ContractorPayroll[[#This Row],[Annual Cost of Wage Increase included in Rate Adjustment]]=0,0,R284*'Facility Info Input'!$F$10),0)</f>
        <v>0</v>
      </c>
      <c r="T284" s="32">
        <f t="shared" si="16"/>
        <v>0</v>
      </c>
      <c r="U284" s="32">
        <f t="shared" si="17"/>
        <v>0</v>
      </c>
      <c r="V284" s="32">
        <f t="shared" si="18"/>
        <v>0</v>
      </c>
      <c r="W284" s="32">
        <f t="shared" si="19"/>
        <v>0</v>
      </c>
    </row>
    <row r="285" spans="1:23">
      <c r="A285" s="77"/>
      <c r="B285" s="76"/>
      <c r="C285" s="77"/>
      <c r="D285" s="81"/>
      <c r="E285" s="82"/>
      <c r="F285" s="82"/>
      <c r="G285" s="83"/>
      <c r="H285" s="84"/>
      <c r="I285" s="85"/>
      <c r="J285" s="85"/>
      <c r="K285" s="85"/>
      <c r="L285" s="85"/>
      <c r="M285" s="93" t="e">
        <f>#REF!&amp;" "&amp;ContractorPayroll[[#This Row],[Employee ID Number / Code]]</f>
        <v>#REF!</v>
      </c>
      <c r="N285" s="71" t="str">
        <f>_xlfn.IFNA(IF(C285="","",VLOOKUP(ContractorPayroll[[#This Row],[Position / Title]],Lists!I:K,3,FALSE)),"")</f>
        <v/>
      </c>
      <c r="O285" s="42" t="str">
        <f>IF(ContractorPayroll[[#This Row],[Position / Title]]="","",VLOOKUP(ContractorPayroll[[#This Row],[Position / Title]],Lists!I:K,2,FALSE))</f>
        <v/>
      </c>
      <c r="P285" s="22" t="str">
        <f>IF(D285="","",ContractorPayroll[[#This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5" s="31">
        <f>IFERROR(IF(ContractorPayroll[[#This Row],[Annual Cost of Wage Increase included in Rate Adjustment]]=0,0,R285*'Facility Info Input'!$F$10),0)</f>
        <v>0</v>
      </c>
      <c r="T285" s="32">
        <f t="shared" si="16"/>
        <v>0</v>
      </c>
      <c r="U285" s="32">
        <f t="shared" si="17"/>
        <v>0</v>
      </c>
      <c r="V285" s="32">
        <f t="shared" si="18"/>
        <v>0</v>
      </c>
      <c r="W285" s="32">
        <f t="shared" si="19"/>
        <v>0</v>
      </c>
    </row>
    <row r="286" spans="1:23">
      <c r="A286" s="77"/>
      <c r="B286" s="76"/>
      <c r="C286" s="77"/>
      <c r="D286" s="81"/>
      <c r="E286" s="82"/>
      <c r="F286" s="82"/>
      <c r="G286" s="83"/>
      <c r="H286" s="84"/>
      <c r="I286" s="85"/>
      <c r="J286" s="85"/>
      <c r="K286" s="85"/>
      <c r="L286" s="85"/>
      <c r="M286" s="93" t="e">
        <f>#REF!&amp;" "&amp;ContractorPayroll[[#This Row],[Employee ID Number / Code]]</f>
        <v>#REF!</v>
      </c>
      <c r="N286" s="71" t="str">
        <f>_xlfn.IFNA(IF(C286="","",VLOOKUP(ContractorPayroll[[#This Row],[Position / Title]],Lists!I:K,3,FALSE)),"")</f>
        <v/>
      </c>
      <c r="O286" s="42" t="str">
        <f>IF(ContractorPayroll[[#This Row],[Position / Title]]="","",VLOOKUP(ContractorPayroll[[#This Row],[Position / Title]],Lists!I:K,2,FALSE))</f>
        <v/>
      </c>
      <c r="P286" s="22" t="str">
        <f>IF(D286="","",ContractorPayroll[[#This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6" s="31">
        <f>IFERROR(IF(ContractorPayroll[[#This Row],[Annual Cost of Wage Increase included in Rate Adjustment]]=0,0,R286*'Facility Info Input'!$F$10),0)</f>
        <v>0</v>
      </c>
      <c r="T286" s="32">
        <f t="shared" si="16"/>
        <v>0</v>
      </c>
      <c r="U286" s="32">
        <f t="shared" si="17"/>
        <v>0</v>
      </c>
      <c r="V286" s="32">
        <f t="shared" si="18"/>
        <v>0</v>
      </c>
      <c r="W286" s="32">
        <f t="shared" si="19"/>
        <v>0</v>
      </c>
    </row>
    <row r="287" spans="1:23">
      <c r="A287" s="77"/>
      <c r="B287" s="76"/>
      <c r="C287" s="77"/>
      <c r="D287" s="81"/>
      <c r="E287" s="82"/>
      <c r="F287" s="82"/>
      <c r="G287" s="83"/>
      <c r="H287" s="84"/>
      <c r="I287" s="85"/>
      <c r="J287" s="85"/>
      <c r="K287" s="85"/>
      <c r="L287" s="85"/>
      <c r="M287" s="93" t="e">
        <f>#REF!&amp;" "&amp;ContractorPayroll[[#This Row],[Employee ID Number / Code]]</f>
        <v>#REF!</v>
      </c>
      <c r="N287" s="71" t="str">
        <f>_xlfn.IFNA(IF(C287="","",VLOOKUP(ContractorPayroll[[#This Row],[Position / Title]],Lists!I:K,3,FALSE)),"")</f>
        <v/>
      </c>
      <c r="O287" s="42" t="str">
        <f>IF(ContractorPayroll[[#This Row],[Position / Title]]="","",VLOOKUP(ContractorPayroll[[#This Row],[Position / Title]],Lists!I:K,2,FALSE))</f>
        <v/>
      </c>
      <c r="P287" s="22" t="str">
        <f>IF(D287="","",ContractorPayroll[[#This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7" s="31">
        <f>IFERROR(IF(ContractorPayroll[[#This Row],[Annual Cost of Wage Increase included in Rate Adjustment]]=0,0,R287*'Facility Info Input'!$F$10),0)</f>
        <v>0</v>
      </c>
      <c r="T287" s="32">
        <f t="shared" si="16"/>
        <v>0</v>
      </c>
      <c r="U287" s="32">
        <f t="shared" si="17"/>
        <v>0</v>
      </c>
      <c r="V287" s="32">
        <f t="shared" si="18"/>
        <v>0</v>
      </c>
      <c r="W287" s="32">
        <f t="shared" si="19"/>
        <v>0</v>
      </c>
    </row>
    <row r="288" spans="1:23">
      <c r="A288" s="77"/>
      <c r="B288" s="76"/>
      <c r="C288" s="77"/>
      <c r="D288" s="81"/>
      <c r="E288" s="82"/>
      <c r="F288" s="82"/>
      <c r="G288" s="83"/>
      <c r="H288" s="84"/>
      <c r="I288" s="85"/>
      <c r="J288" s="85"/>
      <c r="K288" s="85"/>
      <c r="L288" s="85"/>
      <c r="M288" s="93" t="e">
        <f>#REF!&amp;" "&amp;ContractorPayroll[[#This Row],[Employee ID Number / Code]]</f>
        <v>#REF!</v>
      </c>
      <c r="N288" s="71" t="str">
        <f>_xlfn.IFNA(IF(C288="","",VLOOKUP(ContractorPayroll[[#This Row],[Position / Title]],Lists!I:K,3,FALSE)),"")</f>
        <v/>
      </c>
      <c r="O288" s="42" t="str">
        <f>IF(ContractorPayroll[[#This Row],[Position / Title]]="","",VLOOKUP(ContractorPayroll[[#This Row],[Position / Title]],Lists!I:K,2,FALSE))</f>
        <v/>
      </c>
      <c r="P288" s="22" t="str">
        <f>IF(D288="","",ContractorPayroll[[#This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8" s="31">
        <f>IFERROR(IF(ContractorPayroll[[#This Row],[Annual Cost of Wage Increase included in Rate Adjustment]]=0,0,R288*'Facility Info Input'!$F$10),0)</f>
        <v>0</v>
      </c>
      <c r="T288" s="32">
        <f t="shared" si="16"/>
        <v>0</v>
      </c>
      <c r="U288" s="32">
        <f t="shared" si="17"/>
        <v>0</v>
      </c>
      <c r="V288" s="32">
        <f t="shared" si="18"/>
        <v>0</v>
      </c>
      <c r="W288" s="32">
        <f t="shared" si="19"/>
        <v>0</v>
      </c>
    </row>
    <row r="289" spans="1:23">
      <c r="A289" s="77"/>
      <c r="B289" s="76"/>
      <c r="C289" s="77"/>
      <c r="D289" s="81"/>
      <c r="E289" s="82"/>
      <c r="F289" s="82"/>
      <c r="G289" s="83"/>
      <c r="H289" s="84"/>
      <c r="I289" s="85"/>
      <c r="J289" s="85"/>
      <c r="K289" s="85"/>
      <c r="L289" s="85"/>
      <c r="M289" s="93" t="e">
        <f>#REF!&amp;" "&amp;ContractorPayroll[[#This Row],[Employee ID Number / Code]]</f>
        <v>#REF!</v>
      </c>
      <c r="N289" s="71" t="str">
        <f>_xlfn.IFNA(IF(C289="","",VLOOKUP(ContractorPayroll[[#This Row],[Position / Title]],Lists!I:K,3,FALSE)),"")</f>
        <v/>
      </c>
      <c r="O289" s="42" t="str">
        <f>IF(ContractorPayroll[[#This Row],[Position / Title]]="","",VLOOKUP(ContractorPayroll[[#This Row],[Position / Title]],Lists!I:K,2,FALSE))</f>
        <v/>
      </c>
      <c r="P289" s="22" t="str">
        <f>IF(D289="","",ContractorPayroll[[#This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8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8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89" s="31">
        <f>IFERROR(IF(ContractorPayroll[[#This Row],[Annual Cost of Wage Increase included in Rate Adjustment]]=0,0,R289*'Facility Info Input'!$F$10),0)</f>
        <v>0</v>
      </c>
      <c r="T289" s="32">
        <f t="shared" si="16"/>
        <v>0</v>
      </c>
      <c r="U289" s="32">
        <f t="shared" si="17"/>
        <v>0</v>
      </c>
      <c r="V289" s="32">
        <f t="shared" si="18"/>
        <v>0</v>
      </c>
      <c r="W289" s="32">
        <f t="shared" si="19"/>
        <v>0</v>
      </c>
    </row>
    <row r="290" spans="1:23">
      <c r="A290" s="77"/>
      <c r="B290" s="76"/>
      <c r="C290" s="77"/>
      <c r="D290" s="81"/>
      <c r="E290" s="82"/>
      <c r="F290" s="82"/>
      <c r="G290" s="83"/>
      <c r="H290" s="84"/>
      <c r="I290" s="85"/>
      <c r="J290" s="85"/>
      <c r="K290" s="85"/>
      <c r="L290" s="85"/>
      <c r="M290" s="93" t="e">
        <f>#REF!&amp;" "&amp;ContractorPayroll[[#This Row],[Employee ID Number / Code]]</f>
        <v>#REF!</v>
      </c>
      <c r="N290" s="71" t="str">
        <f>_xlfn.IFNA(IF(C290="","",VLOOKUP(ContractorPayroll[[#This Row],[Position / Title]],Lists!I:K,3,FALSE)),"")</f>
        <v/>
      </c>
      <c r="O290" s="42" t="str">
        <f>IF(ContractorPayroll[[#This Row],[Position / Title]]="","",VLOOKUP(ContractorPayroll[[#This Row],[Position / Title]],Lists!I:K,2,FALSE))</f>
        <v/>
      </c>
      <c r="P290" s="22" t="str">
        <f>IF(D290="","",ContractorPayroll[[#This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0" s="31">
        <f>IFERROR(IF(ContractorPayroll[[#This Row],[Annual Cost of Wage Increase included in Rate Adjustment]]=0,0,R290*'Facility Info Input'!$F$10),0)</f>
        <v>0</v>
      </c>
      <c r="T290" s="32">
        <f t="shared" si="16"/>
        <v>0</v>
      </c>
      <c r="U290" s="32">
        <f t="shared" si="17"/>
        <v>0</v>
      </c>
      <c r="V290" s="32">
        <f t="shared" si="18"/>
        <v>0</v>
      </c>
      <c r="W290" s="32">
        <f t="shared" si="19"/>
        <v>0</v>
      </c>
    </row>
    <row r="291" spans="1:23">
      <c r="A291" s="77"/>
      <c r="B291" s="76"/>
      <c r="C291" s="77"/>
      <c r="D291" s="81"/>
      <c r="E291" s="82"/>
      <c r="F291" s="82"/>
      <c r="G291" s="83"/>
      <c r="H291" s="84"/>
      <c r="I291" s="85"/>
      <c r="J291" s="85"/>
      <c r="K291" s="85"/>
      <c r="L291" s="85"/>
      <c r="M291" s="93" t="e">
        <f>#REF!&amp;" "&amp;ContractorPayroll[[#This Row],[Employee ID Number / Code]]</f>
        <v>#REF!</v>
      </c>
      <c r="N291" s="71" t="str">
        <f>_xlfn.IFNA(IF(C291="","",VLOOKUP(ContractorPayroll[[#This Row],[Position / Title]],Lists!I:K,3,FALSE)),"")</f>
        <v/>
      </c>
      <c r="O291" s="42" t="str">
        <f>IF(ContractorPayroll[[#This Row],[Position / Title]]="","",VLOOKUP(ContractorPayroll[[#This Row],[Position / Title]],Lists!I:K,2,FALSE))</f>
        <v/>
      </c>
      <c r="P291" s="22" t="str">
        <f>IF(D291="","",ContractorPayroll[[#This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1" s="31">
        <f>IFERROR(IF(ContractorPayroll[[#This Row],[Annual Cost of Wage Increase included in Rate Adjustment]]=0,0,R291*'Facility Info Input'!$F$10),0)</f>
        <v>0</v>
      </c>
      <c r="T291" s="32">
        <f t="shared" si="16"/>
        <v>0</v>
      </c>
      <c r="U291" s="32">
        <f t="shared" si="17"/>
        <v>0</v>
      </c>
      <c r="V291" s="32">
        <f t="shared" si="18"/>
        <v>0</v>
      </c>
      <c r="W291" s="32">
        <f t="shared" si="19"/>
        <v>0</v>
      </c>
    </row>
    <row r="292" spans="1:23">
      <c r="A292" s="77"/>
      <c r="B292" s="76"/>
      <c r="C292" s="77"/>
      <c r="D292" s="81"/>
      <c r="E292" s="82"/>
      <c r="F292" s="82"/>
      <c r="G292" s="83"/>
      <c r="H292" s="84"/>
      <c r="I292" s="85"/>
      <c r="J292" s="85"/>
      <c r="K292" s="85"/>
      <c r="L292" s="85"/>
      <c r="M292" s="93" t="e">
        <f>#REF!&amp;" "&amp;ContractorPayroll[[#This Row],[Employee ID Number / Code]]</f>
        <v>#REF!</v>
      </c>
      <c r="N292" s="71" t="str">
        <f>_xlfn.IFNA(IF(C292="","",VLOOKUP(ContractorPayroll[[#This Row],[Position / Title]],Lists!I:K,3,FALSE)),"")</f>
        <v/>
      </c>
      <c r="O292" s="42" t="str">
        <f>IF(ContractorPayroll[[#This Row],[Position / Title]]="","",VLOOKUP(ContractorPayroll[[#This Row],[Position / Title]],Lists!I:K,2,FALSE))</f>
        <v/>
      </c>
      <c r="P292" s="22" t="str">
        <f>IF(D292="","",ContractorPayroll[[#This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2" s="31">
        <f>IFERROR(IF(ContractorPayroll[[#This Row],[Annual Cost of Wage Increase included in Rate Adjustment]]=0,0,R292*'Facility Info Input'!$F$10),0)</f>
        <v>0</v>
      </c>
      <c r="T292" s="32">
        <f t="shared" si="16"/>
        <v>0</v>
      </c>
      <c r="U292" s="32">
        <f t="shared" si="17"/>
        <v>0</v>
      </c>
      <c r="V292" s="32">
        <f t="shared" si="18"/>
        <v>0</v>
      </c>
      <c r="W292" s="32">
        <f t="shared" si="19"/>
        <v>0</v>
      </c>
    </row>
    <row r="293" spans="1:23">
      <c r="A293" s="77"/>
      <c r="B293" s="76"/>
      <c r="C293" s="77"/>
      <c r="D293" s="81"/>
      <c r="E293" s="82"/>
      <c r="F293" s="82"/>
      <c r="G293" s="83"/>
      <c r="H293" s="84"/>
      <c r="I293" s="85"/>
      <c r="J293" s="85"/>
      <c r="K293" s="85"/>
      <c r="L293" s="85"/>
      <c r="M293" s="93" t="e">
        <f>#REF!&amp;" "&amp;ContractorPayroll[[#This Row],[Employee ID Number / Code]]</f>
        <v>#REF!</v>
      </c>
      <c r="N293" s="71" t="str">
        <f>_xlfn.IFNA(IF(C293="","",VLOOKUP(ContractorPayroll[[#This Row],[Position / Title]],Lists!I:K,3,FALSE)),"")</f>
        <v/>
      </c>
      <c r="O293" s="42" t="str">
        <f>IF(ContractorPayroll[[#This Row],[Position / Title]]="","",VLOOKUP(ContractorPayroll[[#This Row],[Position / Title]],Lists!I:K,2,FALSE))</f>
        <v/>
      </c>
      <c r="P293" s="22" t="str">
        <f>IF(D293="","",ContractorPayroll[[#This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3" s="31">
        <f>IFERROR(IF(ContractorPayroll[[#This Row],[Annual Cost of Wage Increase included in Rate Adjustment]]=0,0,R293*'Facility Info Input'!$F$10),0)</f>
        <v>0</v>
      </c>
      <c r="T293" s="32">
        <f t="shared" si="16"/>
        <v>0</v>
      </c>
      <c r="U293" s="32">
        <f t="shared" si="17"/>
        <v>0</v>
      </c>
      <c r="V293" s="32">
        <f t="shared" si="18"/>
        <v>0</v>
      </c>
      <c r="W293" s="32">
        <f t="shared" si="19"/>
        <v>0</v>
      </c>
    </row>
    <row r="294" spans="1:23">
      <c r="A294" s="77"/>
      <c r="B294" s="76"/>
      <c r="C294" s="77"/>
      <c r="D294" s="81"/>
      <c r="E294" s="82"/>
      <c r="F294" s="82"/>
      <c r="G294" s="83"/>
      <c r="H294" s="84"/>
      <c r="I294" s="85"/>
      <c r="J294" s="85"/>
      <c r="K294" s="85"/>
      <c r="L294" s="85"/>
      <c r="M294" s="93" t="e">
        <f>#REF!&amp;" "&amp;ContractorPayroll[[#This Row],[Employee ID Number / Code]]</f>
        <v>#REF!</v>
      </c>
      <c r="N294" s="71" t="str">
        <f>_xlfn.IFNA(IF(C294="","",VLOOKUP(ContractorPayroll[[#This Row],[Position / Title]],Lists!I:K,3,FALSE)),"")</f>
        <v/>
      </c>
      <c r="O294" s="42" t="str">
        <f>IF(ContractorPayroll[[#This Row],[Position / Title]]="","",VLOOKUP(ContractorPayroll[[#This Row],[Position / Title]],Lists!I:K,2,FALSE))</f>
        <v/>
      </c>
      <c r="P294" s="22" t="str">
        <f>IF(D294="","",ContractorPayroll[[#This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4" s="31">
        <f>IFERROR(IF(ContractorPayroll[[#This Row],[Annual Cost of Wage Increase included in Rate Adjustment]]=0,0,R294*'Facility Info Input'!$F$10),0)</f>
        <v>0</v>
      </c>
      <c r="T294" s="32">
        <f t="shared" si="16"/>
        <v>0</v>
      </c>
      <c r="U294" s="32">
        <f t="shared" si="17"/>
        <v>0</v>
      </c>
      <c r="V294" s="32">
        <f t="shared" si="18"/>
        <v>0</v>
      </c>
      <c r="W294" s="32">
        <f t="shared" si="19"/>
        <v>0</v>
      </c>
    </row>
    <row r="295" spans="1:23">
      <c r="A295" s="77"/>
      <c r="B295" s="76"/>
      <c r="C295" s="77"/>
      <c r="D295" s="81"/>
      <c r="E295" s="82"/>
      <c r="F295" s="82"/>
      <c r="G295" s="83"/>
      <c r="H295" s="84"/>
      <c r="I295" s="85"/>
      <c r="J295" s="85"/>
      <c r="K295" s="85"/>
      <c r="L295" s="85"/>
      <c r="M295" s="93" t="e">
        <f>#REF!&amp;" "&amp;ContractorPayroll[[#This Row],[Employee ID Number / Code]]</f>
        <v>#REF!</v>
      </c>
      <c r="N295" s="71" t="str">
        <f>_xlfn.IFNA(IF(C295="","",VLOOKUP(ContractorPayroll[[#This Row],[Position / Title]],Lists!I:K,3,FALSE)),"")</f>
        <v/>
      </c>
      <c r="O295" s="42" t="str">
        <f>IF(ContractorPayroll[[#This Row],[Position / Title]]="","",VLOOKUP(ContractorPayroll[[#This Row],[Position / Title]],Lists!I:K,2,FALSE))</f>
        <v/>
      </c>
      <c r="P295" s="22" t="str">
        <f>IF(D295="","",ContractorPayroll[[#This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5" s="31">
        <f>IFERROR(IF(ContractorPayroll[[#This Row],[Annual Cost of Wage Increase included in Rate Adjustment]]=0,0,R295*'Facility Info Input'!$F$10),0)</f>
        <v>0</v>
      </c>
      <c r="T295" s="32">
        <f t="shared" si="16"/>
        <v>0</v>
      </c>
      <c r="U295" s="32">
        <f t="shared" si="17"/>
        <v>0</v>
      </c>
      <c r="V295" s="32">
        <f t="shared" si="18"/>
        <v>0</v>
      </c>
      <c r="W295" s="32">
        <f t="shared" si="19"/>
        <v>0</v>
      </c>
    </row>
    <row r="296" spans="1:23">
      <c r="A296" s="77"/>
      <c r="B296" s="76"/>
      <c r="C296" s="77"/>
      <c r="D296" s="81"/>
      <c r="E296" s="82"/>
      <c r="F296" s="82"/>
      <c r="G296" s="83"/>
      <c r="H296" s="84"/>
      <c r="I296" s="85"/>
      <c r="J296" s="85"/>
      <c r="K296" s="85"/>
      <c r="L296" s="85"/>
      <c r="M296" s="93" t="e">
        <f>#REF!&amp;" "&amp;ContractorPayroll[[#This Row],[Employee ID Number / Code]]</f>
        <v>#REF!</v>
      </c>
      <c r="N296" s="71" t="str">
        <f>_xlfn.IFNA(IF(C296="","",VLOOKUP(ContractorPayroll[[#This Row],[Position / Title]],Lists!I:K,3,FALSE)),"")</f>
        <v/>
      </c>
      <c r="O296" s="42" t="str">
        <f>IF(ContractorPayroll[[#This Row],[Position / Title]]="","",VLOOKUP(ContractorPayroll[[#This Row],[Position / Title]],Lists!I:K,2,FALSE))</f>
        <v/>
      </c>
      <c r="P296" s="22" t="str">
        <f>IF(D296="","",ContractorPayroll[[#This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6" s="31">
        <f>IFERROR(IF(ContractorPayroll[[#This Row],[Annual Cost of Wage Increase included in Rate Adjustment]]=0,0,R296*'Facility Info Input'!$F$10),0)</f>
        <v>0</v>
      </c>
      <c r="T296" s="32">
        <f t="shared" si="16"/>
        <v>0</v>
      </c>
      <c r="U296" s="32">
        <f t="shared" si="17"/>
        <v>0</v>
      </c>
      <c r="V296" s="32">
        <f t="shared" si="18"/>
        <v>0</v>
      </c>
      <c r="W296" s="32">
        <f t="shared" si="19"/>
        <v>0</v>
      </c>
    </row>
    <row r="297" spans="1:23">
      <c r="A297" s="77"/>
      <c r="B297" s="76"/>
      <c r="C297" s="77"/>
      <c r="D297" s="81"/>
      <c r="E297" s="82"/>
      <c r="F297" s="82"/>
      <c r="G297" s="83"/>
      <c r="H297" s="84"/>
      <c r="I297" s="85"/>
      <c r="J297" s="85"/>
      <c r="K297" s="85"/>
      <c r="L297" s="85"/>
      <c r="M297" s="93" t="e">
        <f>#REF!&amp;" "&amp;ContractorPayroll[[#This Row],[Employee ID Number / Code]]</f>
        <v>#REF!</v>
      </c>
      <c r="N297" s="71" t="str">
        <f>_xlfn.IFNA(IF(C297="","",VLOOKUP(ContractorPayroll[[#This Row],[Position / Title]],Lists!I:K,3,FALSE)),"")</f>
        <v/>
      </c>
      <c r="O297" s="42" t="str">
        <f>IF(ContractorPayroll[[#This Row],[Position / Title]]="","",VLOOKUP(ContractorPayroll[[#This Row],[Position / Title]],Lists!I:K,2,FALSE))</f>
        <v/>
      </c>
      <c r="P297" s="22" t="str">
        <f>IF(D297="","",ContractorPayroll[[#This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7" s="31">
        <f>IFERROR(IF(ContractorPayroll[[#This Row],[Annual Cost of Wage Increase included in Rate Adjustment]]=0,0,R297*'Facility Info Input'!$F$10),0)</f>
        <v>0</v>
      </c>
      <c r="T297" s="32">
        <f t="shared" si="16"/>
        <v>0</v>
      </c>
      <c r="U297" s="32">
        <f t="shared" si="17"/>
        <v>0</v>
      </c>
      <c r="V297" s="32">
        <f t="shared" si="18"/>
        <v>0</v>
      </c>
      <c r="W297" s="32">
        <f t="shared" si="19"/>
        <v>0</v>
      </c>
    </row>
    <row r="298" spans="1:23">
      <c r="A298" s="77"/>
      <c r="B298" s="76"/>
      <c r="C298" s="77"/>
      <c r="D298" s="81"/>
      <c r="E298" s="82"/>
      <c r="F298" s="82"/>
      <c r="G298" s="83"/>
      <c r="H298" s="84"/>
      <c r="I298" s="85"/>
      <c r="J298" s="85"/>
      <c r="K298" s="85"/>
      <c r="L298" s="85"/>
      <c r="M298" s="93" t="e">
        <f>#REF!&amp;" "&amp;ContractorPayroll[[#This Row],[Employee ID Number / Code]]</f>
        <v>#REF!</v>
      </c>
      <c r="N298" s="71" t="str">
        <f>_xlfn.IFNA(IF(C298="","",VLOOKUP(ContractorPayroll[[#This Row],[Position / Title]],Lists!I:K,3,FALSE)),"")</f>
        <v/>
      </c>
      <c r="O298" s="42" t="str">
        <f>IF(ContractorPayroll[[#This Row],[Position / Title]]="","",VLOOKUP(ContractorPayroll[[#This Row],[Position / Title]],Lists!I:K,2,FALSE))</f>
        <v/>
      </c>
      <c r="P298" s="22" t="str">
        <f>IF(D298="","",ContractorPayroll[[#This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8" s="31">
        <f>IFERROR(IF(ContractorPayroll[[#This Row],[Annual Cost of Wage Increase included in Rate Adjustment]]=0,0,R298*'Facility Info Input'!$F$10),0)</f>
        <v>0</v>
      </c>
      <c r="T298" s="32">
        <f t="shared" si="16"/>
        <v>0</v>
      </c>
      <c r="U298" s="32">
        <f t="shared" si="17"/>
        <v>0</v>
      </c>
      <c r="V298" s="32">
        <f t="shared" si="18"/>
        <v>0</v>
      </c>
      <c r="W298" s="32">
        <f t="shared" si="19"/>
        <v>0</v>
      </c>
    </row>
    <row r="299" spans="1:23">
      <c r="A299" s="77"/>
      <c r="B299" s="76"/>
      <c r="C299" s="77"/>
      <c r="D299" s="81"/>
      <c r="E299" s="82"/>
      <c r="F299" s="82"/>
      <c r="G299" s="83"/>
      <c r="H299" s="84"/>
      <c r="I299" s="85"/>
      <c r="J299" s="85"/>
      <c r="K299" s="85"/>
      <c r="L299" s="85"/>
      <c r="M299" s="93" t="e">
        <f>#REF!&amp;" "&amp;ContractorPayroll[[#This Row],[Employee ID Number / Code]]</f>
        <v>#REF!</v>
      </c>
      <c r="N299" s="71" t="str">
        <f>_xlfn.IFNA(IF(C299="","",VLOOKUP(ContractorPayroll[[#This Row],[Position / Title]],Lists!I:K,3,FALSE)),"")</f>
        <v/>
      </c>
      <c r="O299" s="42" t="str">
        <f>IF(ContractorPayroll[[#This Row],[Position / Title]]="","",VLOOKUP(ContractorPayroll[[#This Row],[Position / Title]],Lists!I:K,2,FALSE))</f>
        <v/>
      </c>
      <c r="P299" s="22" t="str">
        <f>IF(D299="","",ContractorPayroll[[#This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29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29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299" s="31">
        <f>IFERROR(IF(ContractorPayroll[[#This Row],[Annual Cost of Wage Increase included in Rate Adjustment]]=0,0,R299*'Facility Info Input'!$F$10),0)</f>
        <v>0</v>
      </c>
      <c r="T299" s="32">
        <f t="shared" si="16"/>
        <v>0</v>
      </c>
      <c r="U299" s="32">
        <f t="shared" si="17"/>
        <v>0</v>
      </c>
      <c r="V299" s="32">
        <f t="shared" si="18"/>
        <v>0</v>
      </c>
      <c r="W299" s="32">
        <f t="shared" si="19"/>
        <v>0</v>
      </c>
    </row>
    <row r="300" spans="1:23">
      <c r="A300" s="77"/>
      <c r="B300" s="76"/>
      <c r="C300" s="77"/>
      <c r="D300" s="81"/>
      <c r="E300" s="82"/>
      <c r="F300" s="82"/>
      <c r="G300" s="83"/>
      <c r="H300" s="84"/>
      <c r="I300" s="85"/>
      <c r="J300" s="85"/>
      <c r="K300" s="85"/>
      <c r="L300" s="85"/>
      <c r="M300" s="93" t="e">
        <f>#REF!&amp;" "&amp;ContractorPayroll[[#This Row],[Employee ID Number / Code]]</f>
        <v>#REF!</v>
      </c>
      <c r="N300" s="71" t="str">
        <f>_xlfn.IFNA(IF(C300="","",VLOOKUP(ContractorPayroll[[#This Row],[Position / Title]],Lists!I:K,3,FALSE)),"")</f>
        <v/>
      </c>
      <c r="O300" s="42" t="str">
        <f>IF(ContractorPayroll[[#This Row],[Position / Title]]="","",VLOOKUP(ContractorPayroll[[#This Row],[Position / Title]],Lists!I:K,2,FALSE))</f>
        <v/>
      </c>
      <c r="P300" s="22" t="str">
        <f>IF(D300="","",ContractorPayroll[[#This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0" s="31">
        <f>IFERROR(IF(ContractorPayroll[[#This Row],[Annual Cost of Wage Increase included in Rate Adjustment]]=0,0,R300*'Facility Info Input'!$F$10),0)</f>
        <v>0</v>
      </c>
      <c r="T300" s="32">
        <f t="shared" si="16"/>
        <v>0</v>
      </c>
      <c r="U300" s="32">
        <f t="shared" si="17"/>
        <v>0</v>
      </c>
      <c r="V300" s="32">
        <f t="shared" si="18"/>
        <v>0</v>
      </c>
      <c r="W300" s="32">
        <f t="shared" si="19"/>
        <v>0</v>
      </c>
    </row>
    <row r="301" spans="1:23">
      <c r="A301" s="77"/>
      <c r="B301" s="76"/>
      <c r="C301" s="77"/>
      <c r="D301" s="81"/>
      <c r="E301" s="82"/>
      <c r="F301" s="82"/>
      <c r="G301" s="83"/>
      <c r="H301" s="84"/>
      <c r="I301" s="85"/>
      <c r="J301" s="85"/>
      <c r="K301" s="85"/>
      <c r="L301" s="85"/>
      <c r="M301" s="93" t="e">
        <f>#REF!&amp;" "&amp;ContractorPayroll[[#This Row],[Employee ID Number / Code]]</f>
        <v>#REF!</v>
      </c>
      <c r="N301" s="71" t="str">
        <f>_xlfn.IFNA(IF(C301="","",VLOOKUP(ContractorPayroll[[#This Row],[Position / Title]],Lists!I:K,3,FALSE)),"")</f>
        <v/>
      </c>
      <c r="O301" s="42" t="str">
        <f>IF(ContractorPayroll[[#This Row],[Position / Title]]="","",VLOOKUP(ContractorPayroll[[#This Row],[Position / Title]],Lists!I:K,2,FALSE))</f>
        <v/>
      </c>
      <c r="P301" s="22" t="str">
        <f>IF(D301="","",ContractorPayroll[[#This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1" s="31">
        <f>IFERROR(IF(ContractorPayroll[[#This Row],[Annual Cost of Wage Increase included in Rate Adjustment]]=0,0,R301*'Facility Info Input'!$F$10),0)</f>
        <v>0</v>
      </c>
      <c r="T301" s="32">
        <f t="shared" si="16"/>
        <v>0</v>
      </c>
      <c r="U301" s="32">
        <f t="shared" si="17"/>
        <v>0</v>
      </c>
      <c r="V301" s="32">
        <f t="shared" si="18"/>
        <v>0</v>
      </c>
      <c r="W301" s="32">
        <f t="shared" si="19"/>
        <v>0</v>
      </c>
    </row>
    <row r="302" spans="1:23">
      <c r="A302" s="77"/>
      <c r="B302" s="76"/>
      <c r="C302" s="77"/>
      <c r="D302" s="81"/>
      <c r="E302" s="82"/>
      <c r="F302" s="82"/>
      <c r="G302" s="83"/>
      <c r="H302" s="84"/>
      <c r="I302" s="85"/>
      <c r="J302" s="85"/>
      <c r="K302" s="85"/>
      <c r="L302" s="85"/>
      <c r="M302" s="93" t="e">
        <f>#REF!&amp;" "&amp;ContractorPayroll[[#This Row],[Employee ID Number / Code]]</f>
        <v>#REF!</v>
      </c>
      <c r="N302" s="71" t="str">
        <f>_xlfn.IFNA(IF(C302="","",VLOOKUP(ContractorPayroll[[#This Row],[Position / Title]],Lists!I:K,3,FALSE)),"")</f>
        <v/>
      </c>
      <c r="O302" s="42" t="str">
        <f>IF(ContractorPayroll[[#This Row],[Position / Title]]="","",VLOOKUP(ContractorPayroll[[#This Row],[Position / Title]],Lists!I:K,2,FALSE))</f>
        <v/>
      </c>
      <c r="P302" s="22" t="str">
        <f>IF(D302="","",ContractorPayroll[[#This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2" s="31">
        <f>IFERROR(IF(ContractorPayroll[[#This Row],[Annual Cost of Wage Increase included in Rate Adjustment]]=0,0,R302*'Facility Info Input'!$F$10),0)</f>
        <v>0</v>
      </c>
      <c r="T302" s="32">
        <f t="shared" si="16"/>
        <v>0</v>
      </c>
      <c r="U302" s="32">
        <f t="shared" si="17"/>
        <v>0</v>
      </c>
      <c r="V302" s="32">
        <f t="shared" si="18"/>
        <v>0</v>
      </c>
      <c r="W302" s="32">
        <f t="shared" si="19"/>
        <v>0</v>
      </c>
    </row>
    <row r="303" spans="1:23">
      <c r="A303" s="77"/>
      <c r="B303" s="76"/>
      <c r="C303" s="77"/>
      <c r="D303" s="81"/>
      <c r="E303" s="82"/>
      <c r="F303" s="82"/>
      <c r="G303" s="83"/>
      <c r="H303" s="84"/>
      <c r="I303" s="85"/>
      <c r="J303" s="85"/>
      <c r="K303" s="85"/>
      <c r="L303" s="85"/>
      <c r="M303" s="93" t="e">
        <f>#REF!&amp;" "&amp;ContractorPayroll[[#This Row],[Employee ID Number / Code]]</f>
        <v>#REF!</v>
      </c>
      <c r="N303" s="71" t="str">
        <f>_xlfn.IFNA(IF(C303="","",VLOOKUP(ContractorPayroll[[#This Row],[Position / Title]],Lists!I:K,3,FALSE)),"")</f>
        <v/>
      </c>
      <c r="O303" s="42" t="str">
        <f>IF(ContractorPayroll[[#This Row],[Position / Title]]="","",VLOOKUP(ContractorPayroll[[#This Row],[Position / Title]],Lists!I:K,2,FALSE))</f>
        <v/>
      </c>
      <c r="P303" s="22" t="str">
        <f>IF(D303="","",ContractorPayroll[[#This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3" s="31">
        <f>IFERROR(IF(ContractorPayroll[[#This Row],[Annual Cost of Wage Increase included in Rate Adjustment]]=0,0,R303*'Facility Info Input'!$F$10),0)</f>
        <v>0</v>
      </c>
      <c r="T303" s="32">
        <f t="shared" si="16"/>
        <v>0</v>
      </c>
      <c r="U303" s="32">
        <f t="shared" si="17"/>
        <v>0</v>
      </c>
      <c r="V303" s="32">
        <f t="shared" si="18"/>
        <v>0</v>
      </c>
      <c r="W303" s="32">
        <f t="shared" si="19"/>
        <v>0</v>
      </c>
    </row>
    <row r="304" spans="1:23">
      <c r="A304" s="77"/>
      <c r="B304" s="76"/>
      <c r="C304" s="77"/>
      <c r="D304" s="81"/>
      <c r="E304" s="82"/>
      <c r="F304" s="82"/>
      <c r="G304" s="83"/>
      <c r="H304" s="84"/>
      <c r="I304" s="85"/>
      <c r="J304" s="85"/>
      <c r="K304" s="85"/>
      <c r="L304" s="85"/>
      <c r="M304" s="93" t="e">
        <f>#REF!&amp;" "&amp;ContractorPayroll[[#This Row],[Employee ID Number / Code]]</f>
        <v>#REF!</v>
      </c>
      <c r="N304" s="71" t="str">
        <f>_xlfn.IFNA(IF(C304="","",VLOOKUP(ContractorPayroll[[#This Row],[Position / Title]],Lists!I:K,3,FALSE)),"")</f>
        <v/>
      </c>
      <c r="O304" s="42" t="str">
        <f>IF(ContractorPayroll[[#This Row],[Position / Title]]="","",VLOOKUP(ContractorPayroll[[#This Row],[Position / Title]],Lists!I:K,2,FALSE))</f>
        <v/>
      </c>
      <c r="P304" s="22" t="str">
        <f>IF(D304="","",ContractorPayroll[[#This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4" s="31">
        <f>IFERROR(IF(ContractorPayroll[[#This Row],[Annual Cost of Wage Increase included in Rate Adjustment]]=0,0,R304*'Facility Info Input'!$F$10),0)</f>
        <v>0</v>
      </c>
      <c r="T304" s="32">
        <f t="shared" si="16"/>
        <v>0</v>
      </c>
      <c r="U304" s="32">
        <f t="shared" si="17"/>
        <v>0</v>
      </c>
      <c r="V304" s="32">
        <f t="shared" si="18"/>
        <v>0</v>
      </c>
      <c r="W304" s="32">
        <f t="shared" si="19"/>
        <v>0</v>
      </c>
    </row>
    <row r="305" spans="1:23">
      <c r="A305" s="77"/>
      <c r="B305" s="76"/>
      <c r="C305" s="77"/>
      <c r="D305" s="81"/>
      <c r="E305" s="82"/>
      <c r="F305" s="82"/>
      <c r="G305" s="83"/>
      <c r="H305" s="84"/>
      <c r="I305" s="85"/>
      <c r="J305" s="85"/>
      <c r="K305" s="85"/>
      <c r="L305" s="85"/>
      <c r="M305" s="93" t="e">
        <f>#REF!&amp;" "&amp;ContractorPayroll[[#This Row],[Employee ID Number / Code]]</f>
        <v>#REF!</v>
      </c>
      <c r="N305" s="71" t="str">
        <f>_xlfn.IFNA(IF(C305="","",VLOOKUP(ContractorPayroll[[#This Row],[Position / Title]],Lists!I:K,3,FALSE)),"")</f>
        <v/>
      </c>
      <c r="O305" s="42" t="str">
        <f>IF(ContractorPayroll[[#This Row],[Position / Title]]="","",VLOOKUP(ContractorPayroll[[#This Row],[Position / Title]],Lists!I:K,2,FALSE))</f>
        <v/>
      </c>
      <c r="P305" s="22" t="str">
        <f>IF(D305="","",ContractorPayroll[[#This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5" s="31">
        <f>IFERROR(IF(ContractorPayroll[[#This Row],[Annual Cost of Wage Increase included in Rate Adjustment]]=0,0,R305*'Facility Info Input'!$F$10),0)</f>
        <v>0</v>
      </c>
      <c r="T305" s="32">
        <f t="shared" si="16"/>
        <v>0</v>
      </c>
      <c r="U305" s="32">
        <f t="shared" si="17"/>
        <v>0</v>
      </c>
      <c r="V305" s="32">
        <f t="shared" si="18"/>
        <v>0</v>
      </c>
      <c r="W305" s="32">
        <f t="shared" si="19"/>
        <v>0</v>
      </c>
    </row>
    <row r="306" spans="1:23">
      <c r="A306" s="77"/>
      <c r="B306" s="76"/>
      <c r="C306" s="77"/>
      <c r="D306" s="81"/>
      <c r="E306" s="82"/>
      <c r="F306" s="82"/>
      <c r="G306" s="83"/>
      <c r="H306" s="84"/>
      <c r="I306" s="85"/>
      <c r="J306" s="85"/>
      <c r="K306" s="85"/>
      <c r="L306" s="85"/>
      <c r="M306" s="93" t="e">
        <f>#REF!&amp;" "&amp;ContractorPayroll[[#This Row],[Employee ID Number / Code]]</f>
        <v>#REF!</v>
      </c>
      <c r="N306" s="71" t="str">
        <f>_xlfn.IFNA(IF(C306="","",VLOOKUP(ContractorPayroll[[#This Row],[Position / Title]],Lists!I:K,3,FALSE)),"")</f>
        <v/>
      </c>
      <c r="O306" s="42" t="str">
        <f>IF(ContractorPayroll[[#This Row],[Position / Title]]="","",VLOOKUP(ContractorPayroll[[#This Row],[Position / Title]],Lists!I:K,2,FALSE))</f>
        <v/>
      </c>
      <c r="P306" s="22" t="str">
        <f>IF(D306="","",ContractorPayroll[[#This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6" s="31">
        <f>IFERROR(IF(ContractorPayroll[[#This Row],[Annual Cost of Wage Increase included in Rate Adjustment]]=0,0,R306*'Facility Info Input'!$F$10),0)</f>
        <v>0</v>
      </c>
      <c r="T306" s="32">
        <f t="shared" si="16"/>
        <v>0</v>
      </c>
      <c r="U306" s="32">
        <f t="shared" si="17"/>
        <v>0</v>
      </c>
      <c r="V306" s="32">
        <f t="shared" si="18"/>
        <v>0</v>
      </c>
      <c r="W306" s="32">
        <f t="shared" si="19"/>
        <v>0</v>
      </c>
    </row>
    <row r="307" spans="1:23">
      <c r="A307" s="77"/>
      <c r="B307" s="76"/>
      <c r="C307" s="77"/>
      <c r="D307" s="81"/>
      <c r="E307" s="82"/>
      <c r="F307" s="82"/>
      <c r="G307" s="83"/>
      <c r="H307" s="84"/>
      <c r="I307" s="85"/>
      <c r="J307" s="85"/>
      <c r="K307" s="85"/>
      <c r="L307" s="85"/>
      <c r="M307" s="93" t="e">
        <f>#REF!&amp;" "&amp;ContractorPayroll[[#This Row],[Employee ID Number / Code]]</f>
        <v>#REF!</v>
      </c>
      <c r="N307" s="71" t="str">
        <f>_xlfn.IFNA(IF(C307="","",VLOOKUP(ContractorPayroll[[#This Row],[Position / Title]],Lists!I:K,3,FALSE)),"")</f>
        <v/>
      </c>
      <c r="O307" s="42" t="str">
        <f>IF(ContractorPayroll[[#This Row],[Position / Title]]="","",VLOOKUP(ContractorPayroll[[#This Row],[Position / Title]],Lists!I:K,2,FALSE))</f>
        <v/>
      </c>
      <c r="P307" s="22" t="str">
        <f>IF(D307="","",ContractorPayroll[[#This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7" s="31">
        <f>IFERROR(IF(ContractorPayroll[[#This Row],[Annual Cost of Wage Increase included in Rate Adjustment]]=0,0,R307*'Facility Info Input'!$F$10),0)</f>
        <v>0</v>
      </c>
      <c r="T307" s="32">
        <f t="shared" si="16"/>
        <v>0</v>
      </c>
      <c r="U307" s="32">
        <f t="shared" si="17"/>
        <v>0</v>
      </c>
      <c r="V307" s="32">
        <f t="shared" si="18"/>
        <v>0</v>
      </c>
      <c r="W307" s="32">
        <f t="shared" si="19"/>
        <v>0</v>
      </c>
    </row>
    <row r="308" spans="1:23">
      <c r="A308" s="77"/>
      <c r="B308" s="76"/>
      <c r="C308" s="77"/>
      <c r="D308" s="81"/>
      <c r="E308" s="82"/>
      <c r="F308" s="82"/>
      <c r="G308" s="83"/>
      <c r="H308" s="84"/>
      <c r="I308" s="85"/>
      <c r="J308" s="85"/>
      <c r="K308" s="85"/>
      <c r="L308" s="85"/>
      <c r="M308" s="93" t="e">
        <f>#REF!&amp;" "&amp;ContractorPayroll[[#This Row],[Employee ID Number / Code]]</f>
        <v>#REF!</v>
      </c>
      <c r="N308" s="71" t="str">
        <f>_xlfn.IFNA(IF(C308="","",VLOOKUP(ContractorPayroll[[#This Row],[Position / Title]],Lists!I:K,3,FALSE)),"")</f>
        <v/>
      </c>
      <c r="O308" s="42" t="str">
        <f>IF(ContractorPayroll[[#This Row],[Position / Title]]="","",VLOOKUP(ContractorPayroll[[#This Row],[Position / Title]],Lists!I:K,2,FALSE))</f>
        <v/>
      </c>
      <c r="P308" s="22" t="str">
        <f>IF(D308="","",ContractorPayroll[[#This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8" s="31">
        <f>IFERROR(IF(ContractorPayroll[[#This Row],[Annual Cost of Wage Increase included in Rate Adjustment]]=0,0,R308*'Facility Info Input'!$F$10),0)</f>
        <v>0</v>
      </c>
      <c r="T308" s="32">
        <f t="shared" si="16"/>
        <v>0</v>
      </c>
      <c r="U308" s="32">
        <f t="shared" si="17"/>
        <v>0</v>
      </c>
      <c r="V308" s="32">
        <f t="shared" si="18"/>
        <v>0</v>
      </c>
      <c r="W308" s="32">
        <f t="shared" si="19"/>
        <v>0</v>
      </c>
    </row>
    <row r="309" spans="1:23">
      <c r="A309" s="77"/>
      <c r="B309" s="76"/>
      <c r="C309" s="77"/>
      <c r="D309" s="81"/>
      <c r="E309" s="82"/>
      <c r="F309" s="82"/>
      <c r="G309" s="83"/>
      <c r="H309" s="84"/>
      <c r="I309" s="85"/>
      <c r="J309" s="85"/>
      <c r="K309" s="85"/>
      <c r="L309" s="85"/>
      <c r="M309" s="93" t="e">
        <f>#REF!&amp;" "&amp;ContractorPayroll[[#This Row],[Employee ID Number / Code]]</f>
        <v>#REF!</v>
      </c>
      <c r="N309" s="71" t="str">
        <f>_xlfn.IFNA(IF(C309="","",VLOOKUP(ContractorPayroll[[#This Row],[Position / Title]],Lists!I:K,3,FALSE)),"")</f>
        <v/>
      </c>
      <c r="O309" s="42" t="str">
        <f>IF(ContractorPayroll[[#This Row],[Position / Title]]="","",VLOOKUP(ContractorPayroll[[#This Row],[Position / Title]],Lists!I:K,2,FALSE))</f>
        <v/>
      </c>
      <c r="P309" s="22" t="str">
        <f>IF(D309="","",ContractorPayroll[[#This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0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0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09" s="31">
        <f>IFERROR(IF(ContractorPayroll[[#This Row],[Annual Cost of Wage Increase included in Rate Adjustment]]=0,0,R309*'Facility Info Input'!$F$10),0)</f>
        <v>0</v>
      </c>
      <c r="T309" s="32">
        <f t="shared" si="16"/>
        <v>0</v>
      </c>
      <c r="U309" s="32">
        <f t="shared" si="17"/>
        <v>0</v>
      </c>
      <c r="V309" s="32">
        <f t="shared" si="18"/>
        <v>0</v>
      </c>
      <c r="W309" s="32">
        <f t="shared" si="19"/>
        <v>0</v>
      </c>
    </row>
    <row r="310" spans="1:23">
      <c r="A310" s="77"/>
      <c r="B310" s="76"/>
      <c r="C310" s="77"/>
      <c r="D310" s="81"/>
      <c r="E310" s="82"/>
      <c r="F310" s="82"/>
      <c r="G310" s="83"/>
      <c r="H310" s="84"/>
      <c r="I310" s="85"/>
      <c r="J310" s="85"/>
      <c r="K310" s="85"/>
      <c r="L310" s="85"/>
      <c r="M310" s="93" t="e">
        <f>#REF!&amp;" "&amp;ContractorPayroll[[#This Row],[Employee ID Number / Code]]</f>
        <v>#REF!</v>
      </c>
      <c r="N310" s="71" t="str">
        <f>_xlfn.IFNA(IF(C310="","",VLOOKUP(ContractorPayroll[[#This Row],[Position / Title]],Lists!I:K,3,FALSE)),"")</f>
        <v/>
      </c>
      <c r="O310" s="42" t="str">
        <f>IF(ContractorPayroll[[#This Row],[Position / Title]]="","",VLOOKUP(ContractorPayroll[[#This Row],[Position / Title]],Lists!I:K,2,FALSE))</f>
        <v/>
      </c>
      <c r="P310" s="22" t="str">
        <f>IF(D310="","",ContractorPayroll[[#This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0" s="31">
        <f>IFERROR(IF(ContractorPayroll[[#This Row],[Annual Cost of Wage Increase included in Rate Adjustment]]=0,0,R310*'Facility Info Input'!$F$10),0)</f>
        <v>0</v>
      </c>
      <c r="T310" s="32">
        <f t="shared" si="16"/>
        <v>0</v>
      </c>
      <c r="U310" s="32">
        <f t="shared" si="17"/>
        <v>0</v>
      </c>
      <c r="V310" s="32">
        <f t="shared" si="18"/>
        <v>0</v>
      </c>
      <c r="W310" s="32">
        <f t="shared" si="19"/>
        <v>0</v>
      </c>
    </row>
    <row r="311" spans="1:23">
      <c r="A311" s="77"/>
      <c r="B311" s="76"/>
      <c r="C311" s="77"/>
      <c r="D311" s="81"/>
      <c r="E311" s="82"/>
      <c r="F311" s="82"/>
      <c r="G311" s="83"/>
      <c r="H311" s="84"/>
      <c r="I311" s="85"/>
      <c r="J311" s="85"/>
      <c r="K311" s="85"/>
      <c r="L311" s="85"/>
      <c r="M311" s="93" t="e">
        <f>#REF!&amp;" "&amp;ContractorPayroll[[#This Row],[Employee ID Number / Code]]</f>
        <v>#REF!</v>
      </c>
      <c r="N311" s="71" t="str">
        <f>_xlfn.IFNA(IF(C311="","",VLOOKUP(ContractorPayroll[[#This Row],[Position / Title]],Lists!I:K,3,FALSE)),"")</f>
        <v/>
      </c>
      <c r="O311" s="42" t="str">
        <f>IF(ContractorPayroll[[#This Row],[Position / Title]]="","",VLOOKUP(ContractorPayroll[[#This Row],[Position / Title]],Lists!I:K,2,FALSE))</f>
        <v/>
      </c>
      <c r="P311" s="22" t="str">
        <f>IF(D311="","",ContractorPayroll[[#This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1" s="31">
        <f>IFERROR(IF(ContractorPayroll[[#This Row],[Annual Cost of Wage Increase included in Rate Adjustment]]=0,0,R311*'Facility Info Input'!$F$10),0)</f>
        <v>0</v>
      </c>
      <c r="T311" s="32">
        <f t="shared" si="16"/>
        <v>0</v>
      </c>
      <c r="U311" s="32">
        <f t="shared" si="17"/>
        <v>0</v>
      </c>
      <c r="V311" s="32">
        <f t="shared" si="18"/>
        <v>0</v>
      </c>
      <c r="W311" s="32">
        <f t="shared" si="19"/>
        <v>0</v>
      </c>
    </row>
    <row r="312" spans="1:23">
      <c r="A312" s="77"/>
      <c r="B312" s="76"/>
      <c r="C312" s="77"/>
      <c r="D312" s="81"/>
      <c r="E312" s="82"/>
      <c r="F312" s="82"/>
      <c r="G312" s="83"/>
      <c r="H312" s="84"/>
      <c r="I312" s="85"/>
      <c r="J312" s="85"/>
      <c r="K312" s="85"/>
      <c r="L312" s="85"/>
      <c r="M312" s="93" t="e">
        <f>#REF!&amp;" "&amp;ContractorPayroll[[#This Row],[Employee ID Number / Code]]</f>
        <v>#REF!</v>
      </c>
      <c r="N312" s="71" t="str">
        <f>_xlfn.IFNA(IF(C312="","",VLOOKUP(ContractorPayroll[[#This Row],[Position / Title]],Lists!I:K,3,FALSE)),"")</f>
        <v/>
      </c>
      <c r="O312" s="42" t="str">
        <f>IF(ContractorPayroll[[#This Row],[Position / Title]]="","",VLOOKUP(ContractorPayroll[[#This Row],[Position / Title]],Lists!I:K,2,FALSE))</f>
        <v/>
      </c>
      <c r="P312" s="22" t="str">
        <f>IF(D312="","",ContractorPayroll[[#This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2" s="31">
        <f>IFERROR(IF(ContractorPayroll[[#This Row],[Annual Cost of Wage Increase included in Rate Adjustment]]=0,0,R312*'Facility Info Input'!$F$10),0)</f>
        <v>0</v>
      </c>
      <c r="T312" s="32">
        <f t="shared" si="16"/>
        <v>0</v>
      </c>
      <c r="U312" s="32">
        <f t="shared" si="17"/>
        <v>0</v>
      </c>
      <c r="V312" s="32">
        <f t="shared" si="18"/>
        <v>0</v>
      </c>
      <c r="W312" s="32">
        <f t="shared" si="19"/>
        <v>0</v>
      </c>
    </row>
    <row r="313" spans="1:23">
      <c r="A313" s="77"/>
      <c r="B313" s="76"/>
      <c r="C313" s="77"/>
      <c r="D313" s="81"/>
      <c r="E313" s="82"/>
      <c r="F313" s="82"/>
      <c r="G313" s="83"/>
      <c r="H313" s="84"/>
      <c r="I313" s="85"/>
      <c r="J313" s="85"/>
      <c r="K313" s="85"/>
      <c r="L313" s="85"/>
      <c r="M313" s="93" t="e">
        <f>#REF!&amp;" "&amp;ContractorPayroll[[#This Row],[Employee ID Number / Code]]</f>
        <v>#REF!</v>
      </c>
      <c r="N313" s="71" t="str">
        <f>_xlfn.IFNA(IF(C313="","",VLOOKUP(ContractorPayroll[[#This Row],[Position / Title]],Lists!I:K,3,FALSE)),"")</f>
        <v/>
      </c>
      <c r="O313" s="42" t="str">
        <f>IF(ContractorPayroll[[#This Row],[Position / Title]]="","",VLOOKUP(ContractorPayroll[[#This Row],[Position / Title]],Lists!I:K,2,FALSE))</f>
        <v/>
      </c>
      <c r="P313" s="22" t="str">
        <f>IF(D313="","",ContractorPayroll[[#This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3" s="31">
        <f>IFERROR(IF(ContractorPayroll[[#This Row],[Annual Cost of Wage Increase included in Rate Adjustment]]=0,0,R313*'Facility Info Input'!$F$10),0)</f>
        <v>0</v>
      </c>
      <c r="T313" s="32">
        <f t="shared" si="16"/>
        <v>0</v>
      </c>
      <c r="U313" s="32">
        <f t="shared" si="17"/>
        <v>0</v>
      </c>
      <c r="V313" s="32">
        <f t="shared" si="18"/>
        <v>0</v>
      </c>
      <c r="W313" s="32">
        <f t="shared" si="19"/>
        <v>0</v>
      </c>
    </row>
    <row r="314" spans="1:23">
      <c r="A314" s="77"/>
      <c r="B314" s="76"/>
      <c r="C314" s="77"/>
      <c r="D314" s="81"/>
      <c r="E314" s="82"/>
      <c r="F314" s="82"/>
      <c r="G314" s="83"/>
      <c r="H314" s="84"/>
      <c r="I314" s="85"/>
      <c r="J314" s="85"/>
      <c r="K314" s="85"/>
      <c r="L314" s="85"/>
      <c r="M314" s="93" t="e">
        <f>#REF!&amp;" "&amp;ContractorPayroll[[#This Row],[Employee ID Number / Code]]</f>
        <v>#REF!</v>
      </c>
      <c r="N314" s="71" t="str">
        <f>_xlfn.IFNA(IF(C314="","",VLOOKUP(ContractorPayroll[[#This Row],[Position / Title]],Lists!I:K,3,FALSE)),"")</f>
        <v/>
      </c>
      <c r="O314" s="42" t="str">
        <f>IF(ContractorPayroll[[#This Row],[Position / Title]]="","",VLOOKUP(ContractorPayroll[[#This Row],[Position / Title]],Lists!I:K,2,FALSE))</f>
        <v/>
      </c>
      <c r="P314" s="22" t="str">
        <f>IF(D314="","",ContractorPayroll[[#This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4" s="31">
        <f>IFERROR(IF(ContractorPayroll[[#This Row],[Annual Cost of Wage Increase included in Rate Adjustment]]=0,0,R314*'Facility Info Input'!$F$10),0)</f>
        <v>0</v>
      </c>
      <c r="T314" s="32">
        <f t="shared" si="16"/>
        <v>0</v>
      </c>
      <c r="U314" s="32">
        <f t="shared" si="17"/>
        <v>0</v>
      </c>
      <c r="V314" s="32">
        <f t="shared" si="18"/>
        <v>0</v>
      </c>
      <c r="W314" s="32">
        <f t="shared" si="19"/>
        <v>0</v>
      </c>
    </row>
    <row r="315" spans="1:23">
      <c r="A315" s="77"/>
      <c r="B315" s="76"/>
      <c r="C315" s="77"/>
      <c r="D315" s="81"/>
      <c r="E315" s="82"/>
      <c r="F315" s="82"/>
      <c r="G315" s="83"/>
      <c r="H315" s="84"/>
      <c r="I315" s="85"/>
      <c r="J315" s="85"/>
      <c r="K315" s="85"/>
      <c r="L315" s="85"/>
      <c r="M315" s="93" t="e">
        <f>#REF!&amp;" "&amp;ContractorPayroll[[#This Row],[Employee ID Number / Code]]</f>
        <v>#REF!</v>
      </c>
      <c r="N315" s="71" t="str">
        <f>_xlfn.IFNA(IF(C315="","",VLOOKUP(ContractorPayroll[[#This Row],[Position / Title]],Lists!I:K,3,FALSE)),"")</f>
        <v/>
      </c>
      <c r="O315" s="42" t="str">
        <f>IF(ContractorPayroll[[#This Row],[Position / Title]]="","",VLOOKUP(ContractorPayroll[[#This Row],[Position / Title]],Lists!I:K,2,FALSE))</f>
        <v/>
      </c>
      <c r="P315" s="22" t="str">
        <f>IF(D315="","",ContractorPayroll[[#This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5" s="31">
        <f>IFERROR(IF(ContractorPayroll[[#This Row],[Annual Cost of Wage Increase included in Rate Adjustment]]=0,0,R315*'Facility Info Input'!$F$10),0)</f>
        <v>0</v>
      </c>
      <c r="T315" s="32">
        <f t="shared" si="16"/>
        <v>0</v>
      </c>
      <c r="U315" s="32">
        <f t="shared" si="17"/>
        <v>0</v>
      </c>
      <c r="V315" s="32">
        <f t="shared" si="18"/>
        <v>0</v>
      </c>
      <c r="W315" s="32">
        <f t="shared" si="19"/>
        <v>0</v>
      </c>
    </row>
    <row r="316" spans="1:23">
      <c r="A316" s="77"/>
      <c r="B316" s="76"/>
      <c r="C316" s="77"/>
      <c r="D316" s="81"/>
      <c r="E316" s="82"/>
      <c r="F316" s="82"/>
      <c r="G316" s="83"/>
      <c r="H316" s="84"/>
      <c r="I316" s="85"/>
      <c r="J316" s="85"/>
      <c r="K316" s="85"/>
      <c r="L316" s="85"/>
      <c r="M316" s="93" t="e">
        <f>#REF!&amp;" "&amp;ContractorPayroll[[#This Row],[Employee ID Number / Code]]</f>
        <v>#REF!</v>
      </c>
      <c r="N316" s="71" t="str">
        <f>_xlfn.IFNA(IF(C316="","",VLOOKUP(ContractorPayroll[[#This Row],[Position / Title]],Lists!I:K,3,FALSE)),"")</f>
        <v/>
      </c>
      <c r="O316" s="42" t="str">
        <f>IF(ContractorPayroll[[#This Row],[Position / Title]]="","",VLOOKUP(ContractorPayroll[[#This Row],[Position / Title]],Lists!I:K,2,FALSE))</f>
        <v/>
      </c>
      <c r="P316" s="22" t="str">
        <f>IF(D316="","",ContractorPayroll[[#This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6" s="31">
        <f>IFERROR(IF(ContractorPayroll[[#This Row],[Annual Cost of Wage Increase included in Rate Adjustment]]=0,0,R316*'Facility Info Input'!$F$10),0)</f>
        <v>0</v>
      </c>
      <c r="T316" s="32">
        <f t="shared" si="16"/>
        <v>0</v>
      </c>
      <c r="U316" s="32">
        <f t="shared" si="17"/>
        <v>0</v>
      </c>
      <c r="V316" s="32">
        <f t="shared" si="18"/>
        <v>0</v>
      </c>
      <c r="W316" s="32">
        <f t="shared" si="19"/>
        <v>0</v>
      </c>
    </row>
    <row r="317" spans="1:23">
      <c r="A317" s="77"/>
      <c r="B317" s="76"/>
      <c r="C317" s="77"/>
      <c r="D317" s="81"/>
      <c r="E317" s="82"/>
      <c r="F317" s="82"/>
      <c r="G317" s="83"/>
      <c r="H317" s="84"/>
      <c r="I317" s="85"/>
      <c r="J317" s="85"/>
      <c r="K317" s="85"/>
      <c r="L317" s="85"/>
      <c r="M317" s="93" t="e">
        <f>#REF!&amp;" "&amp;ContractorPayroll[[#This Row],[Employee ID Number / Code]]</f>
        <v>#REF!</v>
      </c>
      <c r="N317" s="71" t="str">
        <f>_xlfn.IFNA(IF(C317="","",VLOOKUP(ContractorPayroll[[#This Row],[Position / Title]],Lists!I:K,3,FALSE)),"")</f>
        <v/>
      </c>
      <c r="O317" s="42" t="str">
        <f>IF(ContractorPayroll[[#This Row],[Position / Title]]="","",VLOOKUP(ContractorPayroll[[#This Row],[Position / Title]],Lists!I:K,2,FALSE))</f>
        <v/>
      </c>
      <c r="P317" s="22" t="str">
        <f>IF(D317="","",ContractorPayroll[[#This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7" s="31">
        <f>IFERROR(IF(ContractorPayroll[[#This Row],[Annual Cost of Wage Increase included in Rate Adjustment]]=0,0,R317*'Facility Info Input'!$F$10),0)</f>
        <v>0</v>
      </c>
      <c r="T317" s="32">
        <f t="shared" si="16"/>
        <v>0</v>
      </c>
      <c r="U317" s="32">
        <f t="shared" si="17"/>
        <v>0</v>
      </c>
      <c r="V317" s="32">
        <f t="shared" si="18"/>
        <v>0</v>
      </c>
      <c r="W317" s="32">
        <f t="shared" si="19"/>
        <v>0</v>
      </c>
    </row>
    <row r="318" spans="1:23">
      <c r="A318" s="77"/>
      <c r="B318" s="76"/>
      <c r="C318" s="77"/>
      <c r="D318" s="81"/>
      <c r="E318" s="82"/>
      <c r="F318" s="82"/>
      <c r="G318" s="83"/>
      <c r="H318" s="84"/>
      <c r="I318" s="85"/>
      <c r="J318" s="85"/>
      <c r="K318" s="85"/>
      <c r="L318" s="85"/>
      <c r="M318" s="93" t="e">
        <f>#REF!&amp;" "&amp;ContractorPayroll[[#This Row],[Employee ID Number / Code]]</f>
        <v>#REF!</v>
      </c>
      <c r="N318" s="71" t="str">
        <f>_xlfn.IFNA(IF(C318="","",VLOOKUP(ContractorPayroll[[#This Row],[Position / Title]],Lists!I:K,3,FALSE)),"")</f>
        <v/>
      </c>
      <c r="O318" s="42" t="str">
        <f>IF(ContractorPayroll[[#This Row],[Position / Title]]="","",VLOOKUP(ContractorPayroll[[#This Row],[Position / Title]],Lists!I:K,2,FALSE))</f>
        <v/>
      </c>
      <c r="P318" s="22" t="str">
        <f>IF(D318="","",ContractorPayroll[[#This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8" s="31">
        <f>IFERROR(IF(ContractorPayroll[[#This Row],[Annual Cost of Wage Increase included in Rate Adjustment]]=0,0,R318*'Facility Info Input'!$F$10),0)</f>
        <v>0</v>
      </c>
      <c r="T318" s="32">
        <f t="shared" si="16"/>
        <v>0</v>
      </c>
      <c r="U318" s="32">
        <f t="shared" si="17"/>
        <v>0</v>
      </c>
      <c r="V318" s="32">
        <f t="shared" si="18"/>
        <v>0</v>
      </c>
      <c r="W318" s="32">
        <f t="shared" si="19"/>
        <v>0</v>
      </c>
    </row>
    <row r="319" spans="1:23">
      <c r="A319" s="77"/>
      <c r="B319" s="76"/>
      <c r="C319" s="77"/>
      <c r="D319" s="81"/>
      <c r="E319" s="82"/>
      <c r="F319" s="82"/>
      <c r="G319" s="83"/>
      <c r="H319" s="84"/>
      <c r="I319" s="85"/>
      <c r="J319" s="85"/>
      <c r="K319" s="85"/>
      <c r="L319" s="85"/>
      <c r="M319" s="93" t="e">
        <f>#REF!&amp;" "&amp;ContractorPayroll[[#This Row],[Employee ID Number / Code]]</f>
        <v>#REF!</v>
      </c>
      <c r="N319" s="71" t="str">
        <f>_xlfn.IFNA(IF(C319="","",VLOOKUP(ContractorPayroll[[#This Row],[Position / Title]],Lists!I:K,3,FALSE)),"")</f>
        <v/>
      </c>
      <c r="O319" s="42" t="str">
        <f>IF(ContractorPayroll[[#This Row],[Position / Title]]="","",VLOOKUP(ContractorPayroll[[#This Row],[Position / Title]],Lists!I:K,2,FALSE))</f>
        <v/>
      </c>
      <c r="P319" s="22" t="str">
        <f>IF(D319="","",ContractorPayroll[[#This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1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1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19" s="31">
        <f>IFERROR(IF(ContractorPayroll[[#This Row],[Annual Cost of Wage Increase included in Rate Adjustment]]=0,0,R319*'Facility Info Input'!$F$10),0)</f>
        <v>0</v>
      </c>
      <c r="T319" s="32">
        <f t="shared" si="16"/>
        <v>0</v>
      </c>
      <c r="U319" s="32">
        <f t="shared" si="17"/>
        <v>0</v>
      </c>
      <c r="V319" s="32">
        <f t="shared" si="18"/>
        <v>0</v>
      </c>
      <c r="W319" s="32">
        <f t="shared" si="19"/>
        <v>0</v>
      </c>
    </row>
    <row r="320" spans="1:23">
      <c r="A320" s="77"/>
      <c r="B320" s="76"/>
      <c r="C320" s="77"/>
      <c r="D320" s="81"/>
      <c r="E320" s="82"/>
      <c r="F320" s="82"/>
      <c r="G320" s="83"/>
      <c r="H320" s="84"/>
      <c r="I320" s="85"/>
      <c r="J320" s="85"/>
      <c r="K320" s="85"/>
      <c r="L320" s="85"/>
      <c r="M320" s="93" t="e">
        <f>#REF!&amp;" "&amp;ContractorPayroll[[#This Row],[Employee ID Number / Code]]</f>
        <v>#REF!</v>
      </c>
      <c r="N320" s="71" t="str">
        <f>_xlfn.IFNA(IF(C320="","",VLOOKUP(ContractorPayroll[[#This Row],[Position / Title]],Lists!I:K,3,FALSE)),"")</f>
        <v/>
      </c>
      <c r="O320" s="42" t="str">
        <f>IF(ContractorPayroll[[#This Row],[Position / Title]]="","",VLOOKUP(ContractorPayroll[[#This Row],[Position / Title]],Lists!I:K,2,FALSE))</f>
        <v/>
      </c>
      <c r="P320" s="22" t="str">
        <f>IF(D320="","",ContractorPayroll[[#This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0" s="31">
        <f>IFERROR(IF(ContractorPayroll[[#This Row],[Annual Cost of Wage Increase included in Rate Adjustment]]=0,0,R320*'Facility Info Input'!$F$10),0)</f>
        <v>0</v>
      </c>
      <c r="T320" s="32">
        <f t="shared" si="16"/>
        <v>0</v>
      </c>
      <c r="U320" s="32">
        <f t="shared" si="17"/>
        <v>0</v>
      </c>
      <c r="V320" s="32">
        <f t="shared" si="18"/>
        <v>0</v>
      </c>
      <c r="W320" s="32">
        <f t="shared" si="19"/>
        <v>0</v>
      </c>
    </row>
    <row r="321" spans="1:23">
      <c r="A321" s="77"/>
      <c r="B321" s="76"/>
      <c r="C321" s="77"/>
      <c r="D321" s="81"/>
      <c r="E321" s="82"/>
      <c r="F321" s="82"/>
      <c r="G321" s="83"/>
      <c r="H321" s="84"/>
      <c r="I321" s="85"/>
      <c r="J321" s="85"/>
      <c r="K321" s="85"/>
      <c r="L321" s="85"/>
      <c r="M321" s="93" t="e">
        <f>#REF!&amp;" "&amp;ContractorPayroll[[#This Row],[Employee ID Number / Code]]</f>
        <v>#REF!</v>
      </c>
      <c r="N321" s="71" t="str">
        <f>_xlfn.IFNA(IF(C321="","",VLOOKUP(ContractorPayroll[[#This Row],[Position / Title]],Lists!I:K,3,FALSE)),"")</f>
        <v/>
      </c>
      <c r="O321" s="42" t="str">
        <f>IF(ContractorPayroll[[#This Row],[Position / Title]]="","",VLOOKUP(ContractorPayroll[[#This Row],[Position / Title]],Lists!I:K,2,FALSE))</f>
        <v/>
      </c>
      <c r="P321" s="22" t="str">
        <f>IF(D321="","",ContractorPayroll[[#This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1" s="31">
        <f>IFERROR(IF(ContractorPayroll[[#This Row],[Annual Cost of Wage Increase included in Rate Adjustment]]=0,0,R321*'Facility Info Input'!$F$10),0)</f>
        <v>0</v>
      </c>
      <c r="T321" s="32">
        <f t="shared" si="16"/>
        <v>0</v>
      </c>
      <c r="U321" s="32">
        <f t="shared" si="17"/>
        <v>0</v>
      </c>
      <c r="V321" s="32">
        <f t="shared" si="18"/>
        <v>0</v>
      </c>
      <c r="W321" s="32">
        <f t="shared" si="19"/>
        <v>0</v>
      </c>
    </row>
    <row r="322" spans="1:23">
      <c r="A322" s="77"/>
      <c r="B322" s="76"/>
      <c r="C322" s="77"/>
      <c r="D322" s="81"/>
      <c r="E322" s="82"/>
      <c r="F322" s="82"/>
      <c r="G322" s="83"/>
      <c r="H322" s="84"/>
      <c r="I322" s="85"/>
      <c r="J322" s="85"/>
      <c r="K322" s="85"/>
      <c r="L322" s="85"/>
      <c r="M322" s="93" t="e">
        <f>#REF!&amp;" "&amp;ContractorPayroll[[#This Row],[Employee ID Number / Code]]</f>
        <v>#REF!</v>
      </c>
      <c r="N322" s="71" t="str">
        <f>_xlfn.IFNA(IF(C322="","",VLOOKUP(ContractorPayroll[[#This Row],[Position / Title]],Lists!I:K,3,FALSE)),"")</f>
        <v/>
      </c>
      <c r="O322" s="42" t="str">
        <f>IF(ContractorPayroll[[#This Row],[Position / Title]]="","",VLOOKUP(ContractorPayroll[[#This Row],[Position / Title]],Lists!I:K,2,FALSE))</f>
        <v/>
      </c>
      <c r="P322" s="22" t="str">
        <f>IF(D322="","",ContractorPayroll[[#This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2" s="31">
        <f>IFERROR(IF(ContractorPayroll[[#This Row],[Annual Cost of Wage Increase included in Rate Adjustment]]=0,0,R322*'Facility Info Input'!$F$10),0)</f>
        <v>0</v>
      </c>
      <c r="T322" s="32">
        <f t="shared" ref="T322:T385" si="20">IFERROR(J322*R322,0)</f>
        <v>0</v>
      </c>
      <c r="U322" s="32">
        <f t="shared" ref="U322:U385" si="21">IFERROR(K322*R322,0)</f>
        <v>0</v>
      </c>
      <c r="V322" s="32">
        <f t="shared" ref="V322:V385" si="22">IFERROR(IF(H322="Yes",I322*R322,0),0)</f>
        <v>0</v>
      </c>
      <c r="W322" s="32">
        <f t="shared" si="19"/>
        <v>0</v>
      </c>
    </row>
    <row r="323" spans="1:23">
      <c r="A323" s="77"/>
      <c r="B323" s="76"/>
      <c r="C323" s="77"/>
      <c r="D323" s="81"/>
      <c r="E323" s="82"/>
      <c r="F323" s="82"/>
      <c r="G323" s="83"/>
      <c r="H323" s="84"/>
      <c r="I323" s="85"/>
      <c r="J323" s="85"/>
      <c r="K323" s="85"/>
      <c r="L323" s="85"/>
      <c r="M323" s="93" t="e">
        <f>#REF!&amp;" "&amp;ContractorPayroll[[#This Row],[Employee ID Number / Code]]</f>
        <v>#REF!</v>
      </c>
      <c r="N323" s="71" t="str">
        <f>_xlfn.IFNA(IF(C323="","",VLOOKUP(ContractorPayroll[[#This Row],[Position / Title]],Lists!I:K,3,FALSE)),"")</f>
        <v/>
      </c>
      <c r="O323" s="42" t="str">
        <f>IF(ContractorPayroll[[#This Row],[Position / Title]]="","",VLOOKUP(ContractorPayroll[[#This Row],[Position / Title]],Lists!I:K,2,FALSE))</f>
        <v/>
      </c>
      <c r="P323" s="22" t="str">
        <f>IF(D323="","",ContractorPayroll[[#This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3" s="31">
        <f>IFERROR(IF(ContractorPayroll[[#This Row],[Annual Cost of Wage Increase included in Rate Adjustment]]=0,0,R323*'Facility Info Input'!$F$10),0)</f>
        <v>0</v>
      </c>
      <c r="T323" s="32">
        <f t="shared" si="20"/>
        <v>0</v>
      </c>
      <c r="U323" s="32">
        <f t="shared" si="21"/>
        <v>0</v>
      </c>
      <c r="V323" s="32">
        <f t="shared" si="22"/>
        <v>0</v>
      </c>
      <c r="W323" s="32">
        <f t="shared" ref="W323:W386" si="23">IFERROR(SUM(R323:V323),0)</f>
        <v>0</v>
      </c>
    </row>
    <row r="324" spans="1:23">
      <c r="A324" s="77"/>
      <c r="B324" s="76"/>
      <c r="C324" s="77"/>
      <c r="D324" s="81"/>
      <c r="E324" s="82"/>
      <c r="F324" s="82"/>
      <c r="G324" s="83"/>
      <c r="H324" s="84"/>
      <c r="I324" s="85"/>
      <c r="J324" s="85"/>
      <c r="K324" s="85"/>
      <c r="L324" s="85"/>
      <c r="M324" s="93" t="e">
        <f>#REF!&amp;" "&amp;ContractorPayroll[[#This Row],[Employee ID Number / Code]]</f>
        <v>#REF!</v>
      </c>
      <c r="N324" s="71" t="str">
        <f>_xlfn.IFNA(IF(C324="","",VLOOKUP(ContractorPayroll[[#This Row],[Position / Title]],Lists!I:K,3,FALSE)),"")</f>
        <v/>
      </c>
      <c r="O324" s="42" t="str">
        <f>IF(ContractorPayroll[[#This Row],[Position / Title]]="","",VLOOKUP(ContractorPayroll[[#This Row],[Position / Title]],Lists!I:K,2,FALSE))</f>
        <v/>
      </c>
      <c r="P324" s="22" t="str">
        <f>IF(D324="","",ContractorPayroll[[#This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4" s="31">
        <f>IFERROR(IF(ContractorPayroll[[#This Row],[Annual Cost of Wage Increase included in Rate Adjustment]]=0,0,R324*'Facility Info Input'!$F$10),0)</f>
        <v>0</v>
      </c>
      <c r="T324" s="32">
        <f t="shared" si="20"/>
        <v>0</v>
      </c>
      <c r="U324" s="32">
        <f t="shared" si="21"/>
        <v>0</v>
      </c>
      <c r="V324" s="32">
        <f t="shared" si="22"/>
        <v>0</v>
      </c>
      <c r="W324" s="32">
        <f t="shared" si="23"/>
        <v>0</v>
      </c>
    </row>
    <row r="325" spans="1:23">
      <c r="A325" s="77"/>
      <c r="B325" s="76"/>
      <c r="C325" s="77"/>
      <c r="D325" s="81"/>
      <c r="E325" s="82"/>
      <c r="F325" s="82"/>
      <c r="G325" s="83"/>
      <c r="H325" s="84"/>
      <c r="I325" s="85"/>
      <c r="J325" s="85"/>
      <c r="K325" s="85"/>
      <c r="L325" s="85"/>
      <c r="M325" s="93" t="e">
        <f>#REF!&amp;" "&amp;ContractorPayroll[[#This Row],[Employee ID Number / Code]]</f>
        <v>#REF!</v>
      </c>
      <c r="N325" s="71" t="str">
        <f>_xlfn.IFNA(IF(C325="","",VLOOKUP(ContractorPayroll[[#This Row],[Position / Title]],Lists!I:K,3,FALSE)),"")</f>
        <v/>
      </c>
      <c r="O325" s="42" t="str">
        <f>IF(ContractorPayroll[[#This Row],[Position / Title]]="","",VLOOKUP(ContractorPayroll[[#This Row],[Position / Title]],Lists!I:K,2,FALSE))</f>
        <v/>
      </c>
      <c r="P325" s="22" t="str">
        <f>IF(D325="","",ContractorPayroll[[#This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5" s="31">
        <f>IFERROR(IF(ContractorPayroll[[#This Row],[Annual Cost of Wage Increase included in Rate Adjustment]]=0,0,R325*'Facility Info Input'!$F$10),0)</f>
        <v>0</v>
      </c>
      <c r="T325" s="32">
        <f t="shared" si="20"/>
        <v>0</v>
      </c>
      <c r="U325" s="32">
        <f t="shared" si="21"/>
        <v>0</v>
      </c>
      <c r="V325" s="32">
        <f t="shared" si="22"/>
        <v>0</v>
      </c>
      <c r="W325" s="32">
        <f t="shared" si="23"/>
        <v>0</v>
      </c>
    </row>
    <row r="326" spans="1:23">
      <c r="A326" s="77"/>
      <c r="B326" s="76"/>
      <c r="C326" s="77"/>
      <c r="D326" s="81"/>
      <c r="E326" s="82"/>
      <c r="F326" s="82"/>
      <c r="G326" s="83"/>
      <c r="H326" s="84"/>
      <c r="I326" s="85"/>
      <c r="J326" s="85"/>
      <c r="K326" s="85"/>
      <c r="L326" s="85"/>
      <c r="M326" s="93" t="e">
        <f>#REF!&amp;" "&amp;ContractorPayroll[[#This Row],[Employee ID Number / Code]]</f>
        <v>#REF!</v>
      </c>
      <c r="N326" s="71" t="str">
        <f>_xlfn.IFNA(IF(C326="","",VLOOKUP(ContractorPayroll[[#This Row],[Position / Title]],Lists!I:K,3,FALSE)),"")</f>
        <v/>
      </c>
      <c r="O326" s="42" t="str">
        <f>IF(ContractorPayroll[[#This Row],[Position / Title]]="","",VLOOKUP(ContractorPayroll[[#This Row],[Position / Title]],Lists!I:K,2,FALSE))</f>
        <v/>
      </c>
      <c r="P326" s="22" t="str">
        <f>IF(D326="","",ContractorPayroll[[#This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6" s="31">
        <f>IFERROR(IF(ContractorPayroll[[#This Row],[Annual Cost of Wage Increase included in Rate Adjustment]]=0,0,R326*'Facility Info Input'!$F$10),0)</f>
        <v>0</v>
      </c>
      <c r="T326" s="32">
        <f t="shared" si="20"/>
        <v>0</v>
      </c>
      <c r="U326" s="32">
        <f t="shared" si="21"/>
        <v>0</v>
      </c>
      <c r="V326" s="32">
        <f t="shared" si="22"/>
        <v>0</v>
      </c>
      <c r="W326" s="32">
        <f t="shared" si="23"/>
        <v>0</v>
      </c>
    </row>
    <row r="327" spans="1:23">
      <c r="A327" s="77"/>
      <c r="B327" s="76"/>
      <c r="C327" s="77"/>
      <c r="D327" s="81"/>
      <c r="E327" s="82"/>
      <c r="F327" s="82"/>
      <c r="G327" s="83"/>
      <c r="H327" s="84"/>
      <c r="I327" s="85"/>
      <c r="J327" s="85"/>
      <c r="K327" s="85"/>
      <c r="L327" s="85"/>
      <c r="M327" s="93" t="e">
        <f>#REF!&amp;" "&amp;ContractorPayroll[[#This Row],[Employee ID Number / Code]]</f>
        <v>#REF!</v>
      </c>
      <c r="N327" s="71" t="str">
        <f>_xlfn.IFNA(IF(C327="","",VLOOKUP(ContractorPayroll[[#This Row],[Position / Title]],Lists!I:K,3,FALSE)),"")</f>
        <v/>
      </c>
      <c r="O327" s="42" t="str">
        <f>IF(ContractorPayroll[[#This Row],[Position / Title]]="","",VLOOKUP(ContractorPayroll[[#This Row],[Position / Title]],Lists!I:K,2,FALSE))</f>
        <v/>
      </c>
      <c r="P327" s="22" t="str">
        <f>IF(D327="","",ContractorPayroll[[#This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7" s="31">
        <f>IFERROR(IF(ContractorPayroll[[#This Row],[Annual Cost of Wage Increase included in Rate Adjustment]]=0,0,R327*'Facility Info Input'!$F$10),0)</f>
        <v>0</v>
      </c>
      <c r="T327" s="32">
        <f t="shared" si="20"/>
        <v>0</v>
      </c>
      <c r="U327" s="32">
        <f t="shared" si="21"/>
        <v>0</v>
      </c>
      <c r="V327" s="32">
        <f t="shared" si="22"/>
        <v>0</v>
      </c>
      <c r="W327" s="32">
        <f t="shared" si="23"/>
        <v>0</v>
      </c>
    </row>
    <row r="328" spans="1:23">
      <c r="A328" s="77"/>
      <c r="B328" s="76"/>
      <c r="C328" s="77"/>
      <c r="D328" s="81"/>
      <c r="E328" s="82"/>
      <c r="F328" s="82"/>
      <c r="G328" s="83"/>
      <c r="H328" s="84"/>
      <c r="I328" s="85"/>
      <c r="J328" s="85"/>
      <c r="K328" s="85"/>
      <c r="L328" s="85"/>
      <c r="M328" s="93" t="e">
        <f>#REF!&amp;" "&amp;ContractorPayroll[[#This Row],[Employee ID Number / Code]]</f>
        <v>#REF!</v>
      </c>
      <c r="N328" s="71" t="str">
        <f>_xlfn.IFNA(IF(C328="","",VLOOKUP(ContractorPayroll[[#This Row],[Position / Title]],Lists!I:K,3,FALSE)),"")</f>
        <v/>
      </c>
      <c r="O328" s="42" t="str">
        <f>IF(ContractorPayroll[[#This Row],[Position / Title]]="","",VLOOKUP(ContractorPayroll[[#This Row],[Position / Title]],Lists!I:K,2,FALSE))</f>
        <v/>
      </c>
      <c r="P328" s="22" t="str">
        <f>IF(D328="","",ContractorPayroll[[#This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8" s="31">
        <f>IFERROR(IF(ContractorPayroll[[#This Row],[Annual Cost of Wage Increase included in Rate Adjustment]]=0,0,R328*'Facility Info Input'!$F$10),0)</f>
        <v>0</v>
      </c>
      <c r="T328" s="32">
        <f t="shared" si="20"/>
        <v>0</v>
      </c>
      <c r="U328" s="32">
        <f t="shared" si="21"/>
        <v>0</v>
      </c>
      <c r="V328" s="32">
        <f t="shared" si="22"/>
        <v>0</v>
      </c>
      <c r="W328" s="32">
        <f t="shared" si="23"/>
        <v>0</v>
      </c>
    </row>
    <row r="329" spans="1:23">
      <c r="A329" s="77"/>
      <c r="B329" s="76"/>
      <c r="C329" s="77"/>
      <c r="D329" s="81"/>
      <c r="E329" s="82"/>
      <c r="F329" s="82"/>
      <c r="G329" s="83"/>
      <c r="H329" s="84"/>
      <c r="I329" s="85"/>
      <c r="J329" s="85"/>
      <c r="K329" s="85"/>
      <c r="L329" s="85"/>
      <c r="M329" s="93" t="e">
        <f>#REF!&amp;" "&amp;ContractorPayroll[[#This Row],[Employee ID Number / Code]]</f>
        <v>#REF!</v>
      </c>
      <c r="N329" s="71" t="str">
        <f>_xlfn.IFNA(IF(C329="","",VLOOKUP(ContractorPayroll[[#This Row],[Position / Title]],Lists!I:K,3,FALSE)),"")</f>
        <v/>
      </c>
      <c r="O329" s="42" t="str">
        <f>IF(ContractorPayroll[[#This Row],[Position / Title]]="","",VLOOKUP(ContractorPayroll[[#This Row],[Position / Title]],Lists!I:K,2,FALSE))</f>
        <v/>
      </c>
      <c r="P329" s="22" t="str">
        <f>IF(D329="","",ContractorPayroll[[#This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2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2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29" s="31">
        <f>IFERROR(IF(ContractorPayroll[[#This Row],[Annual Cost of Wage Increase included in Rate Adjustment]]=0,0,R329*'Facility Info Input'!$F$10),0)</f>
        <v>0</v>
      </c>
      <c r="T329" s="32">
        <f t="shared" si="20"/>
        <v>0</v>
      </c>
      <c r="U329" s="32">
        <f t="shared" si="21"/>
        <v>0</v>
      </c>
      <c r="V329" s="32">
        <f t="shared" si="22"/>
        <v>0</v>
      </c>
      <c r="W329" s="32">
        <f t="shared" si="23"/>
        <v>0</v>
      </c>
    </row>
    <row r="330" spans="1:23">
      <c r="A330" s="77"/>
      <c r="B330" s="76"/>
      <c r="C330" s="77"/>
      <c r="D330" s="81"/>
      <c r="E330" s="82"/>
      <c r="F330" s="82"/>
      <c r="G330" s="83"/>
      <c r="H330" s="84"/>
      <c r="I330" s="85"/>
      <c r="J330" s="85"/>
      <c r="K330" s="85"/>
      <c r="L330" s="85"/>
      <c r="M330" s="93" t="e">
        <f>#REF!&amp;" "&amp;ContractorPayroll[[#This Row],[Employee ID Number / Code]]</f>
        <v>#REF!</v>
      </c>
      <c r="N330" s="71" t="str">
        <f>_xlfn.IFNA(IF(C330="","",VLOOKUP(ContractorPayroll[[#This Row],[Position / Title]],Lists!I:K,3,FALSE)),"")</f>
        <v/>
      </c>
      <c r="O330" s="42" t="str">
        <f>IF(ContractorPayroll[[#This Row],[Position / Title]]="","",VLOOKUP(ContractorPayroll[[#This Row],[Position / Title]],Lists!I:K,2,FALSE))</f>
        <v/>
      </c>
      <c r="P330" s="22" t="str">
        <f>IF(D330="","",ContractorPayroll[[#This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0" s="31">
        <f>IFERROR(IF(ContractorPayroll[[#This Row],[Annual Cost of Wage Increase included in Rate Adjustment]]=0,0,R330*'Facility Info Input'!$F$10),0)</f>
        <v>0</v>
      </c>
      <c r="T330" s="32">
        <f t="shared" si="20"/>
        <v>0</v>
      </c>
      <c r="U330" s="32">
        <f t="shared" si="21"/>
        <v>0</v>
      </c>
      <c r="V330" s="32">
        <f t="shared" si="22"/>
        <v>0</v>
      </c>
      <c r="W330" s="32">
        <f t="shared" si="23"/>
        <v>0</v>
      </c>
    </row>
    <row r="331" spans="1:23">
      <c r="A331" s="77"/>
      <c r="B331" s="76"/>
      <c r="C331" s="77"/>
      <c r="D331" s="81"/>
      <c r="E331" s="82"/>
      <c r="F331" s="82"/>
      <c r="G331" s="83"/>
      <c r="H331" s="84"/>
      <c r="I331" s="85"/>
      <c r="J331" s="85"/>
      <c r="K331" s="85"/>
      <c r="L331" s="85"/>
      <c r="M331" s="93" t="e">
        <f>#REF!&amp;" "&amp;ContractorPayroll[[#This Row],[Employee ID Number / Code]]</f>
        <v>#REF!</v>
      </c>
      <c r="N331" s="71" t="str">
        <f>_xlfn.IFNA(IF(C331="","",VLOOKUP(ContractorPayroll[[#This Row],[Position / Title]],Lists!I:K,3,FALSE)),"")</f>
        <v/>
      </c>
      <c r="O331" s="42" t="str">
        <f>IF(ContractorPayroll[[#This Row],[Position / Title]]="","",VLOOKUP(ContractorPayroll[[#This Row],[Position / Title]],Lists!I:K,2,FALSE))</f>
        <v/>
      </c>
      <c r="P331" s="22" t="str">
        <f>IF(D331="","",ContractorPayroll[[#This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1" s="31">
        <f>IFERROR(IF(ContractorPayroll[[#This Row],[Annual Cost of Wage Increase included in Rate Adjustment]]=0,0,R331*'Facility Info Input'!$F$10),0)</f>
        <v>0</v>
      </c>
      <c r="T331" s="32">
        <f t="shared" si="20"/>
        <v>0</v>
      </c>
      <c r="U331" s="32">
        <f t="shared" si="21"/>
        <v>0</v>
      </c>
      <c r="V331" s="32">
        <f t="shared" si="22"/>
        <v>0</v>
      </c>
      <c r="W331" s="32">
        <f t="shared" si="23"/>
        <v>0</v>
      </c>
    </row>
    <row r="332" spans="1:23">
      <c r="A332" s="77"/>
      <c r="B332" s="76"/>
      <c r="C332" s="77"/>
      <c r="D332" s="81"/>
      <c r="E332" s="82"/>
      <c r="F332" s="82"/>
      <c r="G332" s="83"/>
      <c r="H332" s="84"/>
      <c r="I332" s="85"/>
      <c r="J332" s="85"/>
      <c r="K332" s="85"/>
      <c r="L332" s="85"/>
      <c r="M332" s="93" t="e">
        <f>#REF!&amp;" "&amp;ContractorPayroll[[#This Row],[Employee ID Number / Code]]</f>
        <v>#REF!</v>
      </c>
      <c r="N332" s="71" t="str">
        <f>_xlfn.IFNA(IF(C332="","",VLOOKUP(ContractorPayroll[[#This Row],[Position / Title]],Lists!I:K,3,FALSE)),"")</f>
        <v/>
      </c>
      <c r="O332" s="42" t="str">
        <f>IF(ContractorPayroll[[#This Row],[Position / Title]]="","",VLOOKUP(ContractorPayroll[[#This Row],[Position / Title]],Lists!I:K,2,FALSE))</f>
        <v/>
      </c>
      <c r="P332" s="22" t="str">
        <f>IF(D332="","",ContractorPayroll[[#This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2" s="31">
        <f>IFERROR(IF(ContractorPayroll[[#This Row],[Annual Cost of Wage Increase included in Rate Adjustment]]=0,0,R332*'Facility Info Input'!$F$10),0)</f>
        <v>0</v>
      </c>
      <c r="T332" s="32">
        <f t="shared" si="20"/>
        <v>0</v>
      </c>
      <c r="U332" s="32">
        <f t="shared" si="21"/>
        <v>0</v>
      </c>
      <c r="V332" s="32">
        <f t="shared" si="22"/>
        <v>0</v>
      </c>
      <c r="W332" s="32">
        <f t="shared" si="23"/>
        <v>0</v>
      </c>
    </row>
    <row r="333" spans="1:23">
      <c r="A333" s="77"/>
      <c r="B333" s="76"/>
      <c r="C333" s="77"/>
      <c r="D333" s="81"/>
      <c r="E333" s="82"/>
      <c r="F333" s="82"/>
      <c r="G333" s="83"/>
      <c r="H333" s="84"/>
      <c r="I333" s="85"/>
      <c r="J333" s="85"/>
      <c r="K333" s="85"/>
      <c r="L333" s="85"/>
      <c r="M333" s="93" t="e">
        <f>#REF!&amp;" "&amp;ContractorPayroll[[#This Row],[Employee ID Number / Code]]</f>
        <v>#REF!</v>
      </c>
      <c r="N333" s="71" t="str">
        <f>_xlfn.IFNA(IF(C333="","",VLOOKUP(ContractorPayroll[[#This Row],[Position / Title]],Lists!I:K,3,FALSE)),"")</f>
        <v/>
      </c>
      <c r="O333" s="42" t="str">
        <f>IF(ContractorPayroll[[#This Row],[Position / Title]]="","",VLOOKUP(ContractorPayroll[[#This Row],[Position / Title]],Lists!I:K,2,FALSE))</f>
        <v/>
      </c>
      <c r="P333" s="22" t="str">
        <f>IF(D333="","",ContractorPayroll[[#This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3" s="31">
        <f>IFERROR(IF(ContractorPayroll[[#This Row],[Annual Cost of Wage Increase included in Rate Adjustment]]=0,0,R333*'Facility Info Input'!$F$10),0)</f>
        <v>0</v>
      </c>
      <c r="T333" s="32">
        <f t="shared" si="20"/>
        <v>0</v>
      </c>
      <c r="U333" s="32">
        <f t="shared" si="21"/>
        <v>0</v>
      </c>
      <c r="V333" s="32">
        <f t="shared" si="22"/>
        <v>0</v>
      </c>
      <c r="W333" s="32">
        <f t="shared" si="23"/>
        <v>0</v>
      </c>
    </row>
    <row r="334" spans="1:23">
      <c r="A334" s="77"/>
      <c r="B334" s="76"/>
      <c r="C334" s="77"/>
      <c r="D334" s="81"/>
      <c r="E334" s="82"/>
      <c r="F334" s="82"/>
      <c r="G334" s="83"/>
      <c r="H334" s="84"/>
      <c r="I334" s="85"/>
      <c r="J334" s="85"/>
      <c r="K334" s="85"/>
      <c r="L334" s="85"/>
      <c r="M334" s="93" t="e">
        <f>#REF!&amp;" "&amp;ContractorPayroll[[#This Row],[Employee ID Number / Code]]</f>
        <v>#REF!</v>
      </c>
      <c r="N334" s="71" t="str">
        <f>_xlfn.IFNA(IF(C334="","",VLOOKUP(ContractorPayroll[[#This Row],[Position / Title]],Lists!I:K,3,FALSE)),"")</f>
        <v/>
      </c>
      <c r="O334" s="42" t="str">
        <f>IF(ContractorPayroll[[#This Row],[Position / Title]]="","",VLOOKUP(ContractorPayroll[[#This Row],[Position / Title]],Lists!I:K,2,FALSE))</f>
        <v/>
      </c>
      <c r="P334" s="22" t="str">
        <f>IF(D334="","",ContractorPayroll[[#This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4" s="31">
        <f>IFERROR(IF(ContractorPayroll[[#This Row],[Annual Cost of Wage Increase included in Rate Adjustment]]=0,0,R334*'Facility Info Input'!$F$10),0)</f>
        <v>0</v>
      </c>
      <c r="T334" s="32">
        <f t="shared" si="20"/>
        <v>0</v>
      </c>
      <c r="U334" s="32">
        <f t="shared" si="21"/>
        <v>0</v>
      </c>
      <c r="V334" s="32">
        <f t="shared" si="22"/>
        <v>0</v>
      </c>
      <c r="W334" s="32">
        <f t="shared" si="23"/>
        <v>0</v>
      </c>
    </row>
    <row r="335" spans="1:23">
      <c r="A335" s="77"/>
      <c r="B335" s="76"/>
      <c r="C335" s="77"/>
      <c r="D335" s="81"/>
      <c r="E335" s="82"/>
      <c r="F335" s="82"/>
      <c r="G335" s="83"/>
      <c r="H335" s="84"/>
      <c r="I335" s="85"/>
      <c r="J335" s="85"/>
      <c r="K335" s="85"/>
      <c r="L335" s="85"/>
      <c r="M335" s="93" t="e">
        <f>#REF!&amp;" "&amp;ContractorPayroll[[#This Row],[Employee ID Number / Code]]</f>
        <v>#REF!</v>
      </c>
      <c r="N335" s="71" t="str">
        <f>_xlfn.IFNA(IF(C335="","",VLOOKUP(ContractorPayroll[[#This Row],[Position / Title]],Lists!I:K,3,FALSE)),"")</f>
        <v/>
      </c>
      <c r="O335" s="42" t="str">
        <f>IF(ContractorPayroll[[#This Row],[Position / Title]]="","",VLOOKUP(ContractorPayroll[[#This Row],[Position / Title]],Lists!I:K,2,FALSE))</f>
        <v/>
      </c>
      <c r="P335" s="22" t="str">
        <f>IF(D335="","",ContractorPayroll[[#This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5" s="31">
        <f>IFERROR(IF(ContractorPayroll[[#This Row],[Annual Cost of Wage Increase included in Rate Adjustment]]=0,0,R335*'Facility Info Input'!$F$10),0)</f>
        <v>0</v>
      </c>
      <c r="T335" s="32">
        <f t="shared" si="20"/>
        <v>0</v>
      </c>
      <c r="U335" s="32">
        <f t="shared" si="21"/>
        <v>0</v>
      </c>
      <c r="V335" s="32">
        <f t="shared" si="22"/>
        <v>0</v>
      </c>
      <c r="W335" s="32">
        <f t="shared" si="23"/>
        <v>0</v>
      </c>
    </row>
    <row r="336" spans="1:23">
      <c r="A336" s="77"/>
      <c r="B336" s="76"/>
      <c r="C336" s="77"/>
      <c r="D336" s="81"/>
      <c r="E336" s="82"/>
      <c r="F336" s="82"/>
      <c r="G336" s="83"/>
      <c r="H336" s="84"/>
      <c r="I336" s="85"/>
      <c r="J336" s="85"/>
      <c r="K336" s="85"/>
      <c r="L336" s="85"/>
      <c r="M336" s="93" t="e">
        <f>#REF!&amp;" "&amp;ContractorPayroll[[#This Row],[Employee ID Number / Code]]</f>
        <v>#REF!</v>
      </c>
      <c r="N336" s="71" t="str">
        <f>_xlfn.IFNA(IF(C336="","",VLOOKUP(ContractorPayroll[[#This Row],[Position / Title]],Lists!I:K,3,FALSE)),"")</f>
        <v/>
      </c>
      <c r="O336" s="42" t="str">
        <f>IF(ContractorPayroll[[#This Row],[Position / Title]]="","",VLOOKUP(ContractorPayroll[[#This Row],[Position / Title]],Lists!I:K,2,FALSE))</f>
        <v/>
      </c>
      <c r="P336" s="22" t="str">
        <f>IF(D336="","",ContractorPayroll[[#This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6" s="31">
        <f>IFERROR(IF(ContractorPayroll[[#This Row],[Annual Cost of Wage Increase included in Rate Adjustment]]=0,0,R336*'Facility Info Input'!$F$10),0)</f>
        <v>0</v>
      </c>
      <c r="T336" s="32">
        <f t="shared" si="20"/>
        <v>0</v>
      </c>
      <c r="U336" s="32">
        <f t="shared" si="21"/>
        <v>0</v>
      </c>
      <c r="V336" s="32">
        <f t="shared" si="22"/>
        <v>0</v>
      </c>
      <c r="W336" s="32">
        <f t="shared" si="23"/>
        <v>0</v>
      </c>
    </row>
    <row r="337" spans="1:23">
      <c r="A337" s="77"/>
      <c r="B337" s="76"/>
      <c r="C337" s="77"/>
      <c r="D337" s="81"/>
      <c r="E337" s="82"/>
      <c r="F337" s="82"/>
      <c r="G337" s="83"/>
      <c r="H337" s="84"/>
      <c r="I337" s="85"/>
      <c r="J337" s="85"/>
      <c r="K337" s="85"/>
      <c r="L337" s="85"/>
      <c r="M337" s="93" t="e">
        <f>#REF!&amp;" "&amp;ContractorPayroll[[#This Row],[Employee ID Number / Code]]</f>
        <v>#REF!</v>
      </c>
      <c r="N337" s="71" t="str">
        <f>_xlfn.IFNA(IF(C337="","",VLOOKUP(ContractorPayroll[[#This Row],[Position / Title]],Lists!I:K,3,FALSE)),"")</f>
        <v/>
      </c>
      <c r="O337" s="42" t="str">
        <f>IF(ContractorPayroll[[#This Row],[Position / Title]]="","",VLOOKUP(ContractorPayroll[[#This Row],[Position / Title]],Lists!I:K,2,FALSE))</f>
        <v/>
      </c>
      <c r="P337" s="22" t="str">
        <f>IF(D337="","",ContractorPayroll[[#This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7" s="31">
        <f>IFERROR(IF(ContractorPayroll[[#This Row],[Annual Cost of Wage Increase included in Rate Adjustment]]=0,0,R337*'Facility Info Input'!$F$10),0)</f>
        <v>0</v>
      </c>
      <c r="T337" s="32">
        <f t="shared" si="20"/>
        <v>0</v>
      </c>
      <c r="U337" s="32">
        <f t="shared" si="21"/>
        <v>0</v>
      </c>
      <c r="V337" s="32">
        <f t="shared" si="22"/>
        <v>0</v>
      </c>
      <c r="W337" s="32">
        <f t="shared" si="23"/>
        <v>0</v>
      </c>
    </row>
    <row r="338" spans="1:23">
      <c r="A338" s="77"/>
      <c r="B338" s="76"/>
      <c r="C338" s="77"/>
      <c r="D338" s="81"/>
      <c r="E338" s="82"/>
      <c r="F338" s="82"/>
      <c r="G338" s="83"/>
      <c r="H338" s="84"/>
      <c r="I338" s="85"/>
      <c r="J338" s="85"/>
      <c r="K338" s="85"/>
      <c r="L338" s="85"/>
      <c r="M338" s="93" t="e">
        <f>#REF!&amp;" "&amp;ContractorPayroll[[#This Row],[Employee ID Number / Code]]</f>
        <v>#REF!</v>
      </c>
      <c r="N338" s="71" t="str">
        <f>_xlfn.IFNA(IF(C338="","",VLOOKUP(ContractorPayroll[[#This Row],[Position / Title]],Lists!I:K,3,FALSE)),"")</f>
        <v/>
      </c>
      <c r="O338" s="42" t="str">
        <f>IF(ContractorPayroll[[#This Row],[Position / Title]]="","",VLOOKUP(ContractorPayroll[[#This Row],[Position / Title]],Lists!I:K,2,FALSE))</f>
        <v/>
      </c>
      <c r="P338" s="22" t="str">
        <f>IF(D338="","",ContractorPayroll[[#This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8" s="31">
        <f>IFERROR(IF(ContractorPayroll[[#This Row],[Annual Cost of Wage Increase included in Rate Adjustment]]=0,0,R338*'Facility Info Input'!$F$10),0)</f>
        <v>0</v>
      </c>
      <c r="T338" s="32">
        <f t="shared" si="20"/>
        <v>0</v>
      </c>
      <c r="U338" s="32">
        <f t="shared" si="21"/>
        <v>0</v>
      </c>
      <c r="V338" s="32">
        <f t="shared" si="22"/>
        <v>0</v>
      </c>
      <c r="W338" s="32">
        <f t="shared" si="23"/>
        <v>0</v>
      </c>
    </row>
    <row r="339" spans="1:23">
      <c r="A339" s="77"/>
      <c r="B339" s="76"/>
      <c r="C339" s="77"/>
      <c r="D339" s="81"/>
      <c r="E339" s="82"/>
      <c r="F339" s="82"/>
      <c r="G339" s="83"/>
      <c r="H339" s="84"/>
      <c r="I339" s="85"/>
      <c r="J339" s="85"/>
      <c r="K339" s="85"/>
      <c r="L339" s="85"/>
      <c r="M339" s="93" t="e">
        <f>#REF!&amp;" "&amp;ContractorPayroll[[#This Row],[Employee ID Number / Code]]</f>
        <v>#REF!</v>
      </c>
      <c r="N339" s="71" t="str">
        <f>_xlfn.IFNA(IF(C339="","",VLOOKUP(ContractorPayroll[[#This Row],[Position / Title]],Lists!I:K,3,FALSE)),"")</f>
        <v/>
      </c>
      <c r="O339" s="42" t="str">
        <f>IF(ContractorPayroll[[#This Row],[Position / Title]]="","",VLOOKUP(ContractorPayroll[[#This Row],[Position / Title]],Lists!I:K,2,FALSE))</f>
        <v/>
      </c>
      <c r="P339" s="22" t="str">
        <f>IF(D339="","",ContractorPayroll[[#This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3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3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39" s="31">
        <f>IFERROR(IF(ContractorPayroll[[#This Row],[Annual Cost of Wage Increase included in Rate Adjustment]]=0,0,R339*'Facility Info Input'!$F$10),0)</f>
        <v>0</v>
      </c>
      <c r="T339" s="32">
        <f t="shared" si="20"/>
        <v>0</v>
      </c>
      <c r="U339" s="32">
        <f t="shared" si="21"/>
        <v>0</v>
      </c>
      <c r="V339" s="32">
        <f t="shared" si="22"/>
        <v>0</v>
      </c>
      <c r="W339" s="32">
        <f t="shared" si="23"/>
        <v>0</v>
      </c>
    </row>
    <row r="340" spans="1:23">
      <c r="A340" s="77"/>
      <c r="B340" s="76"/>
      <c r="C340" s="77"/>
      <c r="D340" s="81"/>
      <c r="E340" s="82"/>
      <c r="F340" s="82"/>
      <c r="G340" s="83"/>
      <c r="H340" s="84"/>
      <c r="I340" s="85"/>
      <c r="J340" s="85"/>
      <c r="K340" s="85"/>
      <c r="L340" s="85"/>
      <c r="M340" s="93" t="e">
        <f>#REF!&amp;" "&amp;ContractorPayroll[[#This Row],[Employee ID Number / Code]]</f>
        <v>#REF!</v>
      </c>
      <c r="N340" s="71" t="str">
        <f>_xlfn.IFNA(IF(C340="","",VLOOKUP(ContractorPayroll[[#This Row],[Position / Title]],Lists!I:K,3,FALSE)),"")</f>
        <v/>
      </c>
      <c r="O340" s="42" t="str">
        <f>IF(ContractorPayroll[[#This Row],[Position / Title]]="","",VLOOKUP(ContractorPayroll[[#This Row],[Position / Title]],Lists!I:K,2,FALSE))</f>
        <v/>
      </c>
      <c r="P340" s="22" t="str">
        <f>IF(D340="","",ContractorPayroll[[#This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0" s="31">
        <f>IFERROR(IF(ContractorPayroll[[#This Row],[Annual Cost of Wage Increase included in Rate Adjustment]]=0,0,R340*'Facility Info Input'!$F$10),0)</f>
        <v>0</v>
      </c>
      <c r="T340" s="32">
        <f t="shared" si="20"/>
        <v>0</v>
      </c>
      <c r="U340" s="32">
        <f t="shared" si="21"/>
        <v>0</v>
      </c>
      <c r="V340" s="32">
        <f t="shared" si="22"/>
        <v>0</v>
      </c>
      <c r="W340" s="32">
        <f t="shared" si="23"/>
        <v>0</v>
      </c>
    </row>
    <row r="341" spans="1:23">
      <c r="A341" s="77"/>
      <c r="B341" s="76"/>
      <c r="C341" s="77"/>
      <c r="D341" s="81"/>
      <c r="E341" s="82"/>
      <c r="F341" s="82"/>
      <c r="G341" s="83"/>
      <c r="H341" s="84"/>
      <c r="I341" s="85"/>
      <c r="J341" s="85"/>
      <c r="K341" s="85"/>
      <c r="L341" s="85"/>
      <c r="M341" s="93" t="e">
        <f>#REF!&amp;" "&amp;ContractorPayroll[[#This Row],[Employee ID Number / Code]]</f>
        <v>#REF!</v>
      </c>
      <c r="N341" s="71" t="str">
        <f>_xlfn.IFNA(IF(C341="","",VLOOKUP(ContractorPayroll[[#This Row],[Position / Title]],Lists!I:K,3,FALSE)),"")</f>
        <v/>
      </c>
      <c r="O341" s="42" t="str">
        <f>IF(ContractorPayroll[[#This Row],[Position / Title]]="","",VLOOKUP(ContractorPayroll[[#This Row],[Position / Title]],Lists!I:K,2,FALSE))</f>
        <v/>
      </c>
      <c r="P341" s="22" t="str">
        <f>IF(D341="","",ContractorPayroll[[#This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1" s="31">
        <f>IFERROR(IF(ContractorPayroll[[#This Row],[Annual Cost of Wage Increase included in Rate Adjustment]]=0,0,R341*'Facility Info Input'!$F$10),0)</f>
        <v>0</v>
      </c>
      <c r="T341" s="32">
        <f t="shared" si="20"/>
        <v>0</v>
      </c>
      <c r="U341" s="32">
        <f t="shared" si="21"/>
        <v>0</v>
      </c>
      <c r="V341" s="32">
        <f t="shared" si="22"/>
        <v>0</v>
      </c>
      <c r="W341" s="32">
        <f t="shared" si="23"/>
        <v>0</v>
      </c>
    </row>
    <row r="342" spans="1:23">
      <c r="A342" s="77"/>
      <c r="B342" s="76"/>
      <c r="C342" s="77"/>
      <c r="D342" s="81"/>
      <c r="E342" s="82"/>
      <c r="F342" s="82"/>
      <c r="G342" s="83"/>
      <c r="H342" s="84"/>
      <c r="I342" s="85"/>
      <c r="J342" s="85"/>
      <c r="K342" s="85"/>
      <c r="L342" s="85"/>
      <c r="M342" s="93" t="e">
        <f>#REF!&amp;" "&amp;ContractorPayroll[[#This Row],[Employee ID Number / Code]]</f>
        <v>#REF!</v>
      </c>
      <c r="N342" s="71" t="str">
        <f>_xlfn.IFNA(IF(C342="","",VLOOKUP(ContractorPayroll[[#This Row],[Position / Title]],Lists!I:K,3,FALSE)),"")</f>
        <v/>
      </c>
      <c r="O342" s="42" t="str">
        <f>IF(ContractorPayroll[[#This Row],[Position / Title]]="","",VLOOKUP(ContractorPayroll[[#This Row],[Position / Title]],Lists!I:K,2,FALSE))</f>
        <v/>
      </c>
      <c r="P342" s="22" t="str">
        <f>IF(D342="","",ContractorPayroll[[#This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2" s="31">
        <f>IFERROR(IF(ContractorPayroll[[#This Row],[Annual Cost of Wage Increase included in Rate Adjustment]]=0,0,R342*'Facility Info Input'!$F$10),0)</f>
        <v>0</v>
      </c>
      <c r="T342" s="32">
        <f t="shared" si="20"/>
        <v>0</v>
      </c>
      <c r="U342" s="32">
        <f t="shared" si="21"/>
        <v>0</v>
      </c>
      <c r="V342" s="32">
        <f t="shared" si="22"/>
        <v>0</v>
      </c>
      <c r="W342" s="32">
        <f t="shared" si="23"/>
        <v>0</v>
      </c>
    </row>
    <row r="343" spans="1:23">
      <c r="A343" s="77"/>
      <c r="B343" s="76"/>
      <c r="C343" s="77"/>
      <c r="D343" s="81"/>
      <c r="E343" s="82"/>
      <c r="F343" s="82"/>
      <c r="G343" s="83"/>
      <c r="H343" s="84"/>
      <c r="I343" s="85"/>
      <c r="J343" s="85"/>
      <c r="K343" s="85"/>
      <c r="L343" s="85"/>
      <c r="M343" s="93" t="e">
        <f>#REF!&amp;" "&amp;ContractorPayroll[[#This Row],[Employee ID Number / Code]]</f>
        <v>#REF!</v>
      </c>
      <c r="N343" s="71" t="str">
        <f>_xlfn.IFNA(IF(C343="","",VLOOKUP(ContractorPayroll[[#This Row],[Position / Title]],Lists!I:K,3,FALSE)),"")</f>
        <v/>
      </c>
      <c r="O343" s="42" t="str">
        <f>IF(ContractorPayroll[[#This Row],[Position / Title]]="","",VLOOKUP(ContractorPayroll[[#This Row],[Position / Title]],Lists!I:K,2,FALSE))</f>
        <v/>
      </c>
      <c r="P343" s="22" t="str">
        <f>IF(D343="","",ContractorPayroll[[#This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3" s="31">
        <f>IFERROR(IF(ContractorPayroll[[#This Row],[Annual Cost of Wage Increase included in Rate Adjustment]]=0,0,R343*'Facility Info Input'!$F$10),0)</f>
        <v>0</v>
      </c>
      <c r="T343" s="32">
        <f t="shared" si="20"/>
        <v>0</v>
      </c>
      <c r="U343" s="32">
        <f t="shared" si="21"/>
        <v>0</v>
      </c>
      <c r="V343" s="32">
        <f t="shared" si="22"/>
        <v>0</v>
      </c>
      <c r="W343" s="32">
        <f t="shared" si="23"/>
        <v>0</v>
      </c>
    </row>
    <row r="344" spans="1:23">
      <c r="A344" s="77"/>
      <c r="B344" s="76"/>
      <c r="C344" s="77"/>
      <c r="D344" s="81"/>
      <c r="E344" s="82"/>
      <c r="F344" s="82"/>
      <c r="G344" s="83"/>
      <c r="H344" s="84"/>
      <c r="I344" s="85"/>
      <c r="J344" s="85"/>
      <c r="K344" s="85"/>
      <c r="L344" s="85"/>
      <c r="M344" s="93" t="e">
        <f>#REF!&amp;" "&amp;ContractorPayroll[[#This Row],[Employee ID Number / Code]]</f>
        <v>#REF!</v>
      </c>
      <c r="N344" s="71" t="str">
        <f>_xlfn.IFNA(IF(C344="","",VLOOKUP(ContractorPayroll[[#This Row],[Position / Title]],Lists!I:K,3,FALSE)),"")</f>
        <v/>
      </c>
      <c r="O344" s="42" t="str">
        <f>IF(ContractorPayroll[[#This Row],[Position / Title]]="","",VLOOKUP(ContractorPayroll[[#This Row],[Position / Title]],Lists!I:K,2,FALSE))</f>
        <v/>
      </c>
      <c r="P344" s="22" t="str">
        <f>IF(D344="","",ContractorPayroll[[#This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4" s="31">
        <f>IFERROR(IF(ContractorPayroll[[#This Row],[Annual Cost of Wage Increase included in Rate Adjustment]]=0,0,R344*'Facility Info Input'!$F$10),0)</f>
        <v>0</v>
      </c>
      <c r="T344" s="32">
        <f t="shared" si="20"/>
        <v>0</v>
      </c>
      <c r="U344" s="32">
        <f t="shared" si="21"/>
        <v>0</v>
      </c>
      <c r="V344" s="32">
        <f t="shared" si="22"/>
        <v>0</v>
      </c>
      <c r="W344" s="32">
        <f t="shared" si="23"/>
        <v>0</v>
      </c>
    </row>
    <row r="345" spans="1:23">
      <c r="A345" s="77"/>
      <c r="B345" s="76"/>
      <c r="C345" s="77"/>
      <c r="D345" s="81"/>
      <c r="E345" s="82"/>
      <c r="F345" s="82"/>
      <c r="G345" s="83"/>
      <c r="H345" s="84"/>
      <c r="I345" s="85"/>
      <c r="J345" s="85"/>
      <c r="K345" s="85"/>
      <c r="L345" s="85"/>
      <c r="M345" s="93" t="e">
        <f>#REF!&amp;" "&amp;ContractorPayroll[[#This Row],[Employee ID Number / Code]]</f>
        <v>#REF!</v>
      </c>
      <c r="N345" s="71" t="str">
        <f>_xlfn.IFNA(IF(C345="","",VLOOKUP(ContractorPayroll[[#This Row],[Position / Title]],Lists!I:K,3,FALSE)),"")</f>
        <v/>
      </c>
      <c r="O345" s="42" t="str">
        <f>IF(ContractorPayroll[[#This Row],[Position / Title]]="","",VLOOKUP(ContractorPayroll[[#This Row],[Position / Title]],Lists!I:K,2,FALSE))</f>
        <v/>
      </c>
      <c r="P345" s="22" t="str">
        <f>IF(D345="","",ContractorPayroll[[#This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5" s="31">
        <f>IFERROR(IF(ContractorPayroll[[#This Row],[Annual Cost of Wage Increase included in Rate Adjustment]]=0,0,R345*'Facility Info Input'!$F$10),0)</f>
        <v>0</v>
      </c>
      <c r="T345" s="32">
        <f t="shared" si="20"/>
        <v>0</v>
      </c>
      <c r="U345" s="32">
        <f t="shared" si="21"/>
        <v>0</v>
      </c>
      <c r="V345" s="32">
        <f t="shared" si="22"/>
        <v>0</v>
      </c>
      <c r="W345" s="32">
        <f t="shared" si="23"/>
        <v>0</v>
      </c>
    </row>
    <row r="346" spans="1:23">
      <c r="A346" s="77"/>
      <c r="B346" s="76"/>
      <c r="C346" s="77"/>
      <c r="D346" s="81"/>
      <c r="E346" s="82"/>
      <c r="F346" s="82"/>
      <c r="G346" s="83"/>
      <c r="H346" s="84"/>
      <c r="I346" s="85"/>
      <c r="J346" s="85"/>
      <c r="K346" s="85"/>
      <c r="L346" s="85"/>
      <c r="M346" s="93" t="e">
        <f>#REF!&amp;" "&amp;ContractorPayroll[[#This Row],[Employee ID Number / Code]]</f>
        <v>#REF!</v>
      </c>
      <c r="N346" s="71" t="str">
        <f>_xlfn.IFNA(IF(C346="","",VLOOKUP(ContractorPayroll[[#This Row],[Position / Title]],Lists!I:K,3,FALSE)),"")</f>
        <v/>
      </c>
      <c r="O346" s="42" t="str">
        <f>IF(ContractorPayroll[[#This Row],[Position / Title]]="","",VLOOKUP(ContractorPayroll[[#This Row],[Position / Title]],Lists!I:K,2,FALSE))</f>
        <v/>
      </c>
      <c r="P346" s="22" t="str">
        <f>IF(D346="","",ContractorPayroll[[#This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6" s="31">
        <f>IFERROR(IF(ContractorPayroll[[#This Row],[Annual Cost of Wage Increase included in Rate Adjustment]]=0,0,R346*'Facility Info Input'!$F$10),0)</f>
        <v>0</v>
      </c>
      <c r="T346" s="32">
        <f t="shared" si="20"/>
        <v>0</v>
      </c>
      <c r="U346" s="32">
        <f t="shared" si="21"/>
        <v>0</v>
      </c>
      <c r="V346" s="32">
        <f t="shared" si="22"/>
        <v>0</v>
      </c>
      <c r="W346" s="32">
        <f t="shared" si="23"/>
        <v>0</v>
      </c>
    </row>
    <row r="347" spans="1:23">
      <c r="A347" s="77"/>
      <c r="B347" s="76"/>
      <c r="C347" s="77"/>
      <c r="D347" s="81"/>
      <c r="E347" s="82"/>
      <c r="F347" s="82"/>
      <c r="G347" s="83"/>
      <c r="H347" s="84"/>
      <c r="I347" s="85"/>
      <c r="J347" s="85"/>
      <c r="K347" s="85"/>
      <c r="L347" s="85"/>
      <c r="M347" s="93" t="e">
        <f>#REF!&amp;" "&amp;ContractorPayroll[[#This Row],[Employee ID Number / Code]]</f>
        <v>#REF!</v>
      </c>
      <c r="N347" s="71" t="str">
        <f>_xlfn.IFNA(IF(C347="","",VLOOKUP(ContractorPayroll[[#This Row],[Position / Title]],Lists!I:K,3,FALSE)),"")</f>
        <v/>
      </c>
      <c r="O347" s="42" t="str">
        <f>IF(ContractorPayroll[[#This Row],[Position / Title]]="","",VLOOKUP(ContractorPayroll[[#This Row],[Position / Title]],Lists!I:K,2,FALSE))</f>
        <v/>
      </c>
      <c r="P347" s="22" t="str">
        <f>IF(D347="","",ContractorPayroll[[#This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7" s="31">
        <f>IFERROR(IF(ContractorPayroll[[#This Row],[Annual Cost of Wage Increase included in Rate Adjustment]]=0,0,R347*'Facility Info Input'!$F$10),0)</f>
        <v>0</v>
      </c>
      <c r="T347" s="32">
        <f t="shared" si="20"/>
        <v>0</v>
      </c>
      <c r="U347" s="32">
        <f t="shared" si="21"/>
        <v>0</v>
      </c>
      <c r="V347" s="32">
        <f t="shared" si="22"/>
        <v>0</v>
      </c>
      <c r="W347" s="32">
        <f t="shared" si="23"/>
        <v>0</v>
      </c>
    </row>
    <row r="348" spans="1:23">
      <c r="A348" s="77"/>
      <c r="B348" s="76"/>
      <c r="C348" s="77"/>
      <c r="D348" s="81"/>
      <c r="E348" s="82"/>
      <c r="F348" s="82"/>
      <c r="G348" s="83"/>
      <c r="H348" s="84"/>
      <c r="I348" s="85"/>
      <c r="J348" s="85"/>
      <c r="K348" s="85"/>
      <c r="L348" s="85"/>
      <c r="M348" s="93" t="e">
        <f>#REF!&amp;" "&amp;ContractorPayroll[[#This Row],[Employee ID Number / Code]]</f>
        <v>#REF!</v>
      </c>
      <c r="N348" s="71" t="str">
        <f>_xlfn.IFNA(IF(C348="","",VLOOKUP(ContractorPayroll[[#This Row],[Position / Title]],Lists!I:K,3,FALSE)),"")</f>
        <v/>
      </c>
      <c r="O348" s="42" t="str">
        <f>IF(ContractorPayroll[[#This Row],[Position / Title]]="","",VLOOKUP(ContractorPayroll[[#This Row],[Position / Title]],Lists!I:K,2,FALSE))</f>
        <v/>
      </c>
      <c r="P348" s="22" t="str">
        <f>IF(D348="","",ContractorPayroll[[#This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8" s="31">
        <f>IFERROR(IF(ContractorPayroll[[#This Row],[Annual Cost of Wage Increase included in Rate Adjustment]]=0,0,R348*'Facility Info Input'!$F$10),0)</f>
        <v>0</v>
      </c>
      <c r="T348" s="32">
        <f t="shared" si="20"/>
        <v>0</v>
      </c>
      <c r="U348" s="32">
        <f t="shared" si="21"/>
        <v>0</v>
      </c>
      <c r="V348" s="32">
        <f t="shared" si="22"/>
        <v>0</v>
      </c>
      <c r="W348" s="32">
        <f t="shared" si="23"/>
        <v>0</v>
      </c>
    </row>
    <row r="349" spans="1:23">
      <c r="A349" s="77"/>
      <c r="B349" s="76"/>
      <c r="C349" s="77"/>
      <c r="D349" s="81"/>
      <c r="E349" s="82"/>
      <c r="F349" s="82"/>
      <c r="G349" s="83"/>
      <c r="H349" s="84"/>
      <c r="I349" s="85"/>
      <c r="J349" s="85"/>
      <c r="K349" s="85"/>
      <c r="L349" s="85"/>
      <c r="M349" s="93" t="e">
        <f>#REF!&amp;" "&amp;ContractorPayroll[[#This Row],[Employee ID Number / Code]]</f>
        <v>#REF!</v>
      </c>
      <c r="N349" s="71" t="str">
        <f>_xlfn.IFNA(IF(C349="","",VLOOKUP(ContractorPayroll[[#This Row],[Position / Title]],Lists!I:K,3,FALSE)),"")</f>
        <v/>
      </c>
      <c r="O349" s="42" t="str">
        <f>IF(ContractorPayroll[[#This Row],[Position / Title]]="","",VLOOKUP(ContractorPayroll[[#This Row],[Position / Title]],Lists!I:K,2,FALSE))</f>
        <v/>
      </c>
      <c r="P349" s="22" t="str">
        <f>IF(D349="","",ContractorPayroll[[#This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4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4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49" s="31">
        <f>IFERROR(IF(ContractorPayroll[[#This Row],[Annual Cost of Wage Increase included in Rate Adjustment]]=0,0,R349*'Facility Info Input'!$F$10),0)</f>
        <v>0</v>
      </c>
      <c r="T349" s="32">
        <f t="shared" si="20"/>
        <v>0</v>
      </c>
      <c r="U349" s="32">
        <f t="shared" si="21"/>
        <v>0</v>
      </c>
      <c r="V349" s="32">
        <f t="shared" si="22"/>
        <v>0</v>
      </c>
      <c r="W349" s="32">
        <f t="shared" si="23"/>
        <v>0</v>
      </c>
    </row>
    <row r="350" spans="1:23">
      <c r="A350" s="77"/>
      <c r="B350" s="76"/>
      <c r="C350" s="77"/>
      <c r="D350" s="81"/>
      <c r="E350" s="82"/>
      <c r="F350" s="82"/>
      <c r="G350" s="83"/>
      <c r="H350" s="84"/>
      <c r="I350" s="85"/>
      <c r="J350" s="85"/>
      <c r="K350" s="85"/>
      <c r="L350" s="85"/>
      <c r="M350" s="93" t="e">
        <f>#REF!&amp;" "&amp;ContractorPayroll[[#This Row],[Employee ID Number / Code]]</f>
        <v>#REF!</v>
      </c>
      <c r="N350" s="71" t="str">
        <f>_xlfn.IFNA(IF(C350="","",VLOOKUP(ContractorPayroll[[#This Row],[Position / Title]],Lists!I:K,3,FALSE)),"")</f>
        <v/>
      </c>
      <c r="O350" s="42" t="str">
        <f>IF(ContractorPayroll[[#This Row],[Position / Title]]="","",VLOOKUP(ContractorPayroll[[#This Row],[Position / Title]],Lists!I:K,2,FALSE))</f>
        <v/>
      </c>
      <c r="P350" s="22" t="str">
        <f>IF(D350="","",ContractorPayroll[[#This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0" s="31">
        <f>IFERROR(IF(ContractorPayroll[[#This Row],[Annual Cost of Wage Increase included in Rate Adjustment]]=0,0,R350*'Facility Info Input'!$F$10),0)</f>
        <v>0</v>
      </c>
      <c r="T350" s="32">
        <f t="shared" si="20"/>
        <v>0</v>
      </c>
      <c r="U350" s="32">
        <f t="shared" si="21"/>
        <v>0</v>
      </c>
      <c r="V350" s="32">
        <f t="shared" si="22"/>
        <v>0</v>
      </c>
      <c r="W350" s="32">
        <f t="shared" si="23"/>
        <v>0</v>
      </c>
    </row>
    <row r="351" spans="1:23">
      <c r="A351" s="77"/>
      <c r="B351" s="76"/>
      <c r="C351" s="77"/>
      <c r="D351" s="81"/>
      <c r="E351" s="82"/>
      <c r="F351" s="82"/>
      <c r="G351" s="83"/>
      <c r="H351" s="84"/>
      <c r="I351" s="85"/>
      <c r="J351" s="85"/>
      <c r="K351" s="85"/>
      <c r="L351" s="85"/>
      <c r="M351" s="93" t="e">
        <f>#REF!&amp;" "&amp;ContractorPayroll[[#This Row],[Employee ID Number / Code]]</f>
        <v>#REF!</v>
      </c>
      <c r="N351" s="71" t="str">
        <f>_xlfn.IFNA(IF(C351="","",VLOOKUP(ContractorPayroll[[#This Row],[Position / Title]],Lists!I:K,3,FALSE)),"")</f>
        <v/>
      </c>
      <c r="O351" s="42" t="str">
        <f>IF(ContractorPayroll[[#This Row],[Position / Title]]="","",VLOOKUP(ContractorPayroll[[#This Row],[Position / Title]],Lists!I:K,2,FALSE))</f>
        <v/>
      </c>
      <c r="P351" s="22" t="str">
        <f>IF(D351="","",ContractorPayroll[[#This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1" s="31">
        <f>IFERROR(IF(ContractorPayroll[[#This Row],[Annual Cost of Wage Increase included in Rate Adjustment]]=0,0,R351*'Facility Info Input'!$F$10),0)</f>
        <v>0</v>
      </c>
      <c r="T351" s="32">
        <f t="shared" si="20"/>
        <v>0</v>
      </c>
      <c r="U351" s="32">
        <f t="shared" si="21"/>
        <v>0</v>
      </c>
      <c r="V351" s="32">
        <f t="shared" si="22"/>
        <v>0</v>
      </c>
      <c r="W351" s="32">
        <f t="shared" si="23"/>
        <v>0</v>
      </c>
    </row>
    <row r="352" spans="1:23">
      <c r="A352" s="77"/>
      <c r="B352" s="76"/>
      <c r="C352" s="77"/>
      <c r="D352" s="81"/>
      <c r="E352" s="82"/>
      <c r="F352" s="82"/>
      <c r="G352" s="83"/>
      <c r="H352" s="84"/>
      <c r="I352" s="85"/>
      <c r="J352" s="85"/>
      <c r="K352" s="85"/>
      <c r="L352" s="85"/>
      <c r="M352" s="93" t="e">
        <f>#REF!&amp;" "&amp;ContractorPayroll[[#This Row],[Employee ID Number / Code]]</f>
        <v>#REF!</v>
      </c>
      <c r="N352" s="71" t="str">
        <f>_xlfn.IFNA(IF(C352="","",VLOOKUP(ContractorPayroll[[#This Row],[Position / Title]],Lists!I:K,3,FALSE)),"")</f>
        <v/>
      </c>
      <c r="O352" s="42" t="str">
        <f>IF(ContractorPayroll[[#This Row],[Position / Title]]="","",VLOOKUP(ContractorPayroll[[#This Row],[Position / Title]],Lists!I:K,2,FALSE))</f>
        <v/>
      </c>
      <c r="P352" s="22" t="str">
        <f>IF(D352="","",ContractorPayroll[[#This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2" s="31">
        <f>IFERROR(IF(ContractorPayroll[[#This Row],[Annual Cost of Wage Increase included in Rate Adjustment]]=0,0,R352*'Facility Info Input'!$F$10),0)</f>
        <v>0</v>
      </c>
      <c r="T352" s="32">
        <f t="shared" si="20"/>
        <v>0</v>
      </c>
      <c r="U352" s="32">
        <f t="shared" si="21"/>
        <v>0</v>
      </c>
      <c r="V352" s="32">
        <f t="shared" si="22"/>
        <v>0</v>
      </c>
      <c r="W352" s="32">
        <f t="shared" si="23"/>
        <v>0</v>
      </c>
    </row>
    <row r="353" spans="1:23">
      <c r="A353" s="77"/>
      <c r="B353" s="76"/>
      <c r="C353" s="77"/>
      <c r="D353" s="81"/>
      <c r="E353" s="82"/>
      <c r="F353" s="82"/>
      <c r="G353" s="83"/>
      <c r="H353" s="84"/>
      <c r="I353" s="85"/>
      <c r="J353" s="85"/>
      <c r="K353" s="85"/>
      <c r="L353" s="85"/>
      <c r="M353" s="93" t="e">
        <f>#REF!&amp;" "&amp;ContractorPayroll[[#This Row],[Employee ID Number / Code]]</f>
        <v>#REF!</v>
      </c>
      <c r="N353" s="71" t="str">
        <f>_xlfn.IFNA(IF(C353="","",VLOOKUP(ContractorPayroll[[#This Row],[Position / Title]],Lists!I:K,3,FALSE)),"")</f>
        <v/>
      </c>
      <c r="O353" s="42" t="str">
        <f>IF(ContractorPayroll[[#This Row],[Position / Title]]="","",VLOOKUP(ContractorPayroll[[#This Row],[Position / Title]],Lists!I:K,2,FALSE))</f>
        <v/>
      </c>
      <c r="P353" s="22" t="str">
        <f>IF(D353="","",ContractorPayroll[[#This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3" s="31">
        <f>IFERROR(IF(ContractorPayroll[[#This Row],[Annual Cost of Wage Increase included in Rate Adjustment]]=0,0,R353*'Facility Info Input'!$F$10),0)</f>
        <v>0</v>
      </c>
      <c r="T353" s="32">
        <f t="shared" si="20"/>
        <v>0</v>
      </c>
      <c r="U353" s="32">
        <f t="shared" si="21"/>
        <v>0</v>
      </c>
      <c r="V353" s="32">
        <f t="shared" si="22"/>
        <v>0</v>
      </c>
      <c r="W353" s="32">
        <f t="shared" si="23"/>
        <v>0</v>
      </c>
    </row>
    <row r="354" spans="1:23">
      <c r="A354" s="77"/>
      <c r="B354" s="76"/>
      <c r="C354" s="77"/>
      <c r="D354" s="81"/>
      <c r="E354" s="82"/>
      <c r="F354" s="82"/>
      <c r="G354" s="83"/>
      <c r="H354" s="84"/>
      <c r="I354" s="85"/>
      <c r="J354" s="85"/>
      <c r="K354" s="85"/>
      <c r="L354" s="85"/>
      <c r="M354" s="93" t="e">
        <f>#REF!&amp;" "&amp;ContractorPayroll[[#This Row],[Employee ID Number / Code]]</f>
        <v>#REF!</v>
      </c>
      <c r="N354" s="71" t="str">
        <f>_xlfn.IFNA(IF(C354="","",VLOOKUP(ContractorPayroll[[#This Row],[Position / Title]],Lists!I:K,3,FALSE)),"")</f>
        <v/>
      </c>
      <c r="O354" s="42" t="str">
        <f>IF(ContractorPayroll[[#This Row],[Position / Title]]="","",VLOOKUP(ContractorPayroll[[#This Row],[Position / Title]],Lists!I:K,2,FALSE))</f>
        <v/>
      </c>
      <c r="P354" s="22" t="str">
        <f>IF(D354="","",ContractorPayroll[[#This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4" s="31">
        <f>IFERROR(IF(ContractorPayroll[[#This Row],[Annual Cost of Wage Increase included in Rate Adjustment]]=0,0,R354*'Facility Info Input'!$F$10),0)</f>
        <v>0</v>
      </c>
      <c r="T354" s="32">
        <f t="shared" si="20"/>
        <v>0</v>
      </c>
      <c r="U354" s="32">
        <f t="shared" si="21"/>
        <v>0</v>
      </c>
      <c r="V354" s="32">
        <f t="shared" si="22"/>
        <v>0</v>
      </c>
      <c r="W354" s="32">
        <f t="shared" si="23"/>
        <v>0</v>
      </c>
    </row>
    <row r="355" spans="1:23">
      <c r="A355" s="77"/>
      <c r="B355" s="76"/>
      <c r="C355" s="77"/>
      <c r="D355" s="81"/>
      <c r="E355" s="82"/>
      <c r="F355" s="82"/>
      <c r="G355" s="83"/>
      <c r="H355" s="84"/>
      <c r="I355" s="85"/>
      <c r="J355" s="85"/>
      <c r="K355" s="85"/>
      <c r="L355" s="85"/>
      <c r="M355" s="93" t="e">
        <f>#REF!&amp;" "&amp;ContractorPayroll[[#This Row],[Employee ID Number / Code]]</f>
        <v>#REF!</v>
      </c>
      <c r="N355" s="71" t="str">
        <f>_xlfn.IFNA(IF(C355="","",VLOOKUP(ContractorPayroll[[#This Row],[Position / Title]],Lists!I:K,3,FALSE)),"")</f>
        <v/>
      </c>
      <c r="O355" s="42" t="str">
        <f>IF(ContractorPayroll[[#This Row],[Position / Title]]="","",VLOOKUP(ContractorPayroll[[#This Row],[Position / Title]],Lists!I:K,2,FALSE))</f>
        <v/>
      </c>
      <c r="P355" s="22" t="str">
        <f>IF(D355="","",ContractorPayroll[[#This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5" s="31">
        <f>IFERROR(IF(ContractorPayroll[[#This Row],[Annual Cost of Wage Increase included in Rate Adjustment]]=0,0,R355*'Facility Info Input'!$F$10),0)</f>
        <v>0</v>
      </c>
      <c r="T355" s="32">
        <f t="shared" si="20"/>
        <v>0</v>
      </c>
      <c r="U355" s="32">
        <f t="shared" si="21"/>
        <v>0</v>
      </c>
      <c r="V355" s="32">
        <f t="shared" si="22"/>
        <v>0</v>
      </c>
      <c r="W355" s="32">
        <f t="shared" si="23"/>
        <v>0</v>
      </c>
    </row>
    <row r="356" spans="1:23">
      <c r="A356" s="77"/>
      <c r="B356" s="76"/>
      <c r="C356" s="77"/>
      <c r="D356" s="81"/>
      <c r="E356" s="82"/>
      <c r="F356" s="82"/>
      <c r="G356" s="83"/>
      <c r="H356" s="84"/>
      <c r="I356" s="85"/>
      <c r="J356" s="85"/>
      <c r="K356" s="85"/>
      <c r="L356" s="85"/>
      <c r="M356" s="93" t="e">
        <f>#REF!&amp;" "&amp;ContractorPayroll[[#This Row],[Employee ID Number / Code]]</f>
        <v>#REF!</v>
      </c>
      <c r="N356" s="71" t="str">
        <f>_xlfn.IFNA(IF(C356="","",VLOOKUP(ContractorPayroll[[#This Row],[Position / Title]],Lists!I:K,3,FALSE)),"")</f>
        <v/>
      </c>
      <c r="O356" s="42" t="str">
        <f>IF(ContractorPayroll[[#This Row],[Position / Title]]="","",VLOOKUP(ContractorPayroll[[#This Row],[Position / Title]],Lists!I:K,2,FALSE))</f>
        <v/>
      </c>
      <c r="P356" s="22" t="str">
        <f>IF(D356="","",ContractorPayroll[[#This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6" s="31">
        <f>IFERROR(IF(ContractorPayroll[[#This Row],[Annual Cost of Wage Increase included in Rate Adjustment]]=0,0,R356*'Facility Info Input'!$F$10),0)</f>
        <v>0</v>
      </c>
      <c r="T356" s="32">
        <f t="shared" si="20"/>
        <v>0</v>
      </c>
      <c r="U356" s="32">
        <f t="shared" si="21"/>
        <v>0</v>
      </c>
      <c r="V356" s="32">
        <f t="shared" si="22"/>
        <v>0</v>
      </c>
      <c r="W356" s="32">
        <f t="shared" si="23"/>
        <v>0</v>
      </c>
    </row>
    <row r="357" spans="1:23">
      <c r="A357" s="77"/>
      <c r="B357" s="76"/>
      <c r="C357" s="77"/>
      <c r="D357" s="81"/>
      <c r="E357" s="82"/>
      <c r="F357" s="82"/>
      <c r="G357" s="83"/>
      <c r="H357" s="84"/>
      <c r="I357" s="85"/>
      <c r="J357" s="85"/>
      <c r="K357" s="85"/>
      <c r="L357" s="85"/>
      <c r="M357" s="93" t="e">
        <f>#REF!&amp;" "&amp;ContractorPayroll[[#This Row],[Employee ID Number / Code]]</f>
        <v>#REF!</v>
      </c>
      <c r="N357" s="71" t="str">
        <f>_xlfn.IFNA(IF(C357="","",VLOOKUP(ContractorPayroll[[#This Row],[Position / Title]],Lists!I:K,3,FALSE)),"")</f>
        <v/>
      </c>
      <c r="O357" s="42" t="str">
        <f>IF(ContractorPayroll[[#This Row],[Position / Title]]="","",VLOOKUP(ContractorPayroll[[#This Row],[Position / Title]],Lists!I:K,2,FALSE))</f>
        <v/>
      </c>
      <c r="P357" s="22" t="str">
        <f>IF(D357="","",ContractorPayroll[[#This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7" s="31">
        <f>IFERROR(IF(ContractorPayroll[[#This Row],[Annual Cost of Wage Increase included in Rate Adjustment]]=0,0,R357*'Facility Info Input'!$F$10),0)</f>
        <v>0</v>
      </c>
      <c r="T357" s="32">
        <f t="shared" si="20"/>
        <v>0</v>
      </c>
      <c r="U357" s="32">
        <f t="shared" si="21"/>
        <v>0</v>
      </c>
      <c r="V357" s="32">
        <f t="shared" si="22"/>
        <v>0</v>
      </c>
      <c r="W357" s="32">
        <f t="shared" si="23"/>
        <v>0</v>
      </c>
    </row>
    <row r="358" spans="1:23">
      <c r="A358" s="77"/>
      <c r="B358" s="76"/>
      <c r="C358" s="77"/>
      <c r="D358" s="81"/>
      <c r="E358" s="82"/>
      <c r="F358" s="82"/>
      <c r="G358" s="83"/>
      <c r="H358" s="84"/>
      <c r="I358" s="85"/>
      <c r="J358" s="85"/>
      <c r="K358" s="85"/>
      <c r="L358" s="85"/>
      <c r="M358" s="93" t="e">
        <f>#REF!&amp;" "&amp;ContractorPayroll[[#This Row],[Employee ID Number / Code]]</f>
        <v>#REF!</v>
      </c>
      <c r="N358" s="71" t="str">
        <f>_xlfn.IFNA(IF(C358="","",VLOOKUP(ContractorPayroll[[#This Row],[Position / Title]],Lists!I:K,3,FALSE)),"")</f>
        <v/>
      </c>
      <c r="O358" s="42" t="str">
        <f>IF(ContractorPayroll[[#This Row],[Position / Title]]="","",VLOOKUP(ContractorPayroll[[#This Row],[Position / Title]],Lists!I:K,2,FALSE))</f>
        <v/>
      </c>
      <c r="P358" s="22" t="str">
        <f>IF(D358="","",ContractorPayroll[[#This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8" s="31">
        <f>IFERROR(IF(ContractorPayroll[[#This Row],[Annual Cost of Wage Increase included in Rate Adjustment]]=0,0,R358*'Facility Info Input'!$F$10),0)</f>
        <v>0</v>
      </c>
      <c r="T358" s="32">
        <f t="shared" si="20"/>
        <v>0</v>
      </c>
      <c r="U358" s="32">
        <f t="shared" si="21"/>
        <v>0</v>
      </c>
      <c r="V358" s="32">
        <f t="shared" si="22"/>
        <v>0</v>
      </c>
      <c r="W358" s="32">
        <f t="shared" si="23"/>
        <v>0</v>
      </c>
    </row>
    <row r="359" spans="1:23">
      <c r="A359" s="77"/>
      <c r="B359" s="76"/>
      <c r="C359" s="77"/>
      <c r="D359" s="81"/>
      <c r="E359" s="82"/>
      <c r="F359" s="82"/>
      <c r="G359" s="83"/>
      <c r="H359" s="84"/>
      <c r="I359" s="85"/>
      <c r="J359" s="85"/>
      <c r="K359" s="85"/>
      <c r="L359" s="85"/>
      <c r="M359" s="93" t="e">
        <f>#REF!&amp;" "&amp;ContractorPayroll[[#This Row],[Employee ID Number / Code]]</f>
        <v>#REF!</v>
      </c>
      <c r="N359" s="71" t="str">
        <f>_xlfn.IFNA(IF(C359="","",VLOOKUP(ContractorPayroll[[#This Row],[Position / Title]],Lists!I:K,3,FALSE)),"")</f>
        <v/>
      </c>
      <c r="O359" s="42" t="str">
        <f>IF(ContractorPayroll[[#This Row],[Position / Title]]="","",VLOOKUP(ContractorPayroll[[#This Row],[Position / Title]],Lists!I:K,2,FALSE))</f>
        <v/>
      </c>
      <c r="P359" s="22" t="str">
        <f>IF(D359="","",ContractorPayroll[[#This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5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5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59" s="31">
        <f>IFERROR(IF(ContractorPayroll[[#This Row],[Annual Cost of Wage Increase included in Rate Adjustment]]=0,0,R359*'Facility Info Input'!$F$10),0)</f>
        <v>0</v>
      </c>
      <c r="T359" s="32">
        <f t="shared" si="20"/>
        <v>0</v>
      </c>
      <c r="U359" s="32">
        <f t="shared" si="21"/>
        <v>0</v>
      </c>
      <c r="V359" s="32">
        <f t="shared" si="22"/>
        <v>0</v>
      </c>
      <c r="W359" s="32">
        <f t="shared" si="23"/>
        <v>0</v>
      </c>
    </row>
    <row r="360" spans="1:23">
      <c r="A360" s="77"/>
      <c r="B360" s="76"/>
      <c r="C360" s="77"/>
      <c r="D360" s="81"/>
      <c r="E360" s="82"/>
      <c r="F360" s="82"/>
      <c r="G360" s="83"/>
      <c r="H360" s="84"/>
      <c r="I360" s="85"/>
      <c r="J360" s="85"/>
      <c r="K360" s="85"/>
      <c r="L360" s="85"/>
      <c r="M360" s="93" t="e">
        <f>#REF!&amp;" "&amp;ContractorPayroll[[#This Row],[Employee ID Number / Code]]</f>
        <v>#REF!</v>
      </c>
      <c r="N360" s="71" t="str">
        <f>_xlfn.IFNA(IF(C360="","",VLOOKUP(ContractorPayroll[[#This Row],[Position / Title]],Lists!I:K,3,FALSE)),"")</f>
        <v/>
      </c>
      <c r="O360" s="42" t="str">
        <f>IF(ContractorPayroll[[#This Row],[Position / Title]]="","",VLOOKUP(ContractorPayroll[[#This Row],[Position / Title]],Lists!I:K,2,FALSE))</f>
        <v/>
      </c>
      <c r="P360" s="22" t="str">
        <f>IF(D360="","",ContractorPayroll[[#This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0" s="31">
        <f>IFERROR(IF(ContractorPayroll[[#This Row],[Annual Cost of Wage Increase included in Rate Adjustment]]=0,0,R360*'Facility Info Input'!$F$10),0)</f>
        <v>0</v>
      </c>
      <c r="T360" s="32">
        <f t="shared" si="20"/>
        <v>0</v>
      </c>
      <c r="U360" s="32">
        <f t="shared" si="21"/>
        <v>0</v>
      </c>
      <c r="V360" s="32">
        <f t="shared" si="22"/>
        <v>0</v>
      </c>
      <c r="W360" s="32">
        <f t="shared" si="23"/>
        <v>0</v>
      </c>
    </row>
    <row r="361" spans="1:23">
      <c r="A361" s="77"/>
      <c r="B361" s="76"/>
      <c r="C361" s="77"/>
      <c r="D361" s="81"/>
      <c r="E361" s="82"/>
      <c r="F361" s="82"/>
      <c r="G361" s="83"/>
      <c r="H361" s="84"/>
      <c r="I361" s="85"/>
      <c r="J361" s="85"/>
      <c r="K361" s="85"/>
      <c r="L361" s="85"/>
      <c r="M361" s="93" t="e">
        <f>#REF!&amp;" "&amp;ContractorPayroll[[#This Row],[Employee ID Number / Code]]</f>
        <v>#REF!</v>
      </c>
      <c r="N361" s="71" t="str">
        <f>_xlfn.IFNA(IF(C361="","",VLOOKUP(ContractorPayroll[[#This Row],[Position / Title]],Lists!I:K,3,FALSE)),"")</f>
        <v/>
      </c>
      <c r="O361" s="42" t="str">
        <f>IF(ContractorPayroll[[#This Row],[Position / Title]]="","",VLOOKUP(ContractorPayroll[[#This Row],[Position / Title]],Lists!I:K,2,FALSE))</f>
        <v/>
      </c>
      <c r="P361" s="22" t="str">
        <f>IF(D361="","",ContractorPayroll[[#This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1" s="31">
        <f>IFERROR(IF(ContractorPayroll[[#This Row],[Annual Cost of Wage Increase included in Rate Adjustment]]=0,0,R361*'Facility Info Input'!$F$10),0)</f>
        <v>0</v>
      </c>
      <c r="T361" s="32">
        <f t="shared" si="20"/>
        <v>0</v>
      </c>
      <c r="U361" s="32">
        <f t="shared" si="21"/>
        <v>0</v>
      </c>
      <c r="V361" s="32">
        <f t="shared" si="22"/>
        <v>0</v>
      </c>
      <c r="W361" s="32">
        <f t="shared" si="23"/>
        <v>0</v>
      </c>
    </row>
    <row r="362" spans="1:23">
      <c r="A362" s="77"/>
      <c r="B362" s="76"/>
      <c r="C362" s="77"/>
      <c r="D362" s="81"/>
      <c r="E362" s="82"/>
      <c r="F362" s="82"/>
      <c r="G362" s="83"/>
      <c r="H362" s="84"/>
      <c r="I362" s="85"/>
      <c r="J362" s="85"/>
      <c r="K362" s="85"/>
      <c r="L362" s="85"/>
      <c r="M362" s="93" t="e">
        <f>#REF!&amp;" "&amp;ContractorPayroll[[#This Row],[Employee ID Number / Code]]</f>
        <v>#REF!</v>
      </c>
      <c r="N362" s="71" t="str">
        <f>_xlfn.IFNA(IF(C362="","",VLOOKUP(ContractorPayroll[[#This Row],[Position / Title]],Lists!I:K,3,FALSE)),"")</f>
        <v/>
      </c>
      <c r="O362" s="42" t="str">
        <f>IF(ContractorPayroll[[#This Row],[Position / Title]]="","",VLOOKUP(ContractorPayroll[[#This Row],[Position / Title]],Lists!I:K,2,FALSE))</f>
        <v/>
      </c>
      <c r="P362" s="22" t="str">
        <f>IF(D362="","",ContractorPayroll[[#This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2" s="31">
        <f>IFERROR(IF(ContractorPayroll[[#This Row],[Annual Cost of Wage Increase included in Rate Adjustment]]=0,0,R362*'Facility Info Input'!$F$10),0)</f>
        <v>0</v>
      </c>
      <c r="T362" s="32">
        <f t="shared" si="20"/>
        <v>0</v>
      </c>
      <c r="U362" s="32">
        <f t="shared" si="21"/>
        <v>0</v>
      </c>
      <c r="V362" s="32">
        <f t="shared" si="22"/>
        <v>0</v>
      </c>
      <c r="W362" s="32">
        <f t="shared" si="23"/>
        <v>0</v>
      </c>
    </row>
    <row r="363" spans="1:23">
      <c r="A363" s="77"/>
      <c r="B363" s="76"/>
      <c r="C363" s="77"/>
      <c r="D363" s="81"/>
      <c r="E363" s="82"/>
      <c r="F363" s="82"/>
      <c r="G363" s="83"/>
      <c r="H363" s="84"/>
      <c r="I363" s="85"/>
      <c r="J363" s="85"/>
      <c r="K363" s="85"/>
      <c r="L363" s="85"/>
      <c r="M363" s="93" t="e">
        <f>#REF!&amp;" "&amp;ContractorPayroll[[#This Row],[Employee ID Number / Code]]</f>
        <v>#REF!</v>
      </c>
      <c r="N363" s="71" t="str">
        <f>_xlfn.IFNA(IF(C363="","",VLOOKUP(ContractorPayroll[[#This Row],[Position / Title]],Lists!I:K,3,FALSE)),"")</f>
        <v/>
      </c>
      <c r="O363" s="42" t="str">
        <f>IF(ContractorPayroll[[#This Row],[Position / Title]]="","",VLOOKUP(ContractorPayroll[[#This Row],[Position / Title]],Lists!I:K,2,FALSE))</f>
        <v/>
      </c>
      <c r="P363" s="22" t="str">
        <f>IF(D363="","",ContractorPayroll[[#This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3" s="31">
        <f>IFERROR(IF(ContractorPayroll[[#This Row],[Annual Cost of Wage Increase included in Rate Adjustment]]=0,0,R363*'Facility Info Input'!$F$10),0)</f>
        <v>0</v>
      </c>
      <c r="T363" s="32">
        <f t="shared" si="20"/>
        <v>0</v>
      </c>
      <c r="U363" s="32">
        <f t="shared" si="21"/>
        <v>0</v>
      </c>
      <c r="V363" s="32">
        <f t="shared" si="22"/>
        <v>0</v>
      </c>
      <c r="W363" s="32">
        <f t="shared" si="23"/>
        <v>0</v>
      </c>
    </row>
    <row r="364" spans="1:23">
      <c r="A364" s="77"/>
      <c r="B364" s="76"/>
      <c r="C364" s="77"/>
      <c r="D364" s="81"/>
      <c r="E364" s="82"/>
      <c r="F364" s="82"/>
      <c r="G364" s="83"/>
      <c r="H364" s="84"/>
      <c r="I364" s="85"/>
      <c r="J364" s="85"/>
      <c r="K364" s="85"/>
      <c r="L364" s="85"/>
      <c r="M364" s="93" t="e">
        <f>#REF!&amp;" "&amp;ContractorPayroll[[#This Row],[Employee ID Number / Code]]</f>
        <v>#REF!</v>
      </c>
      <c r="N364" s="71" t="str">
        <f>_xlfn.IFNA(IF(C364="","",VLOOKUP(ContractorPayroll[[#This Row],[Position / Title]],Lists!I:K,3,FALSE)),"")</f>
        <v/>
      </c>
      <c r="O364" s="42" t="str">
        <f>IF(ContractorPayroll[[#This Row],[Position / Title]]="","",VLOOKUP(ContractorPayroll[[#This Row],[Position / Title]],Lists!I:K,2,FALSE))</f>
        <v/>
      </c>
      <c r="P364" s="22" t="str">
        <f>IF(D364="","",ContractorPayroll[[#This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4" s="31">
        <f>IFERROR(IF(ContractorPayroll[[#This Row],[Annual Cost of Wage Increase included in Rate Adjustment]]=0,0,R364*'Facility Info Input'!$F$10),0)</f>
        <v>0</v>
      </c>
      <c r="T364" s="32">
        <f t="shared" si="20"/>
        <v>0</v>
      </c>
      <c r="U364" s="32">
        <f t="shared" si="21"/>
        <v>0</v>
      </c>
      <c r="V364" s="32">
        <f t="shared" si="22"/>
        <v>0</v>
      </c>
      <c r="W364" s="32">
        <f t="shared" si="23"/>
        <v>0</v>
      </c>
    </row>
    <row r="365" spans="1:23">
      <c r="A365" s="77"/>
      <c r="B365" s="76"/>
      <c r="C365" s="77"/>
      <c r="D365" s="81"/>
      <c r="E365" s="82"/>
      <c r="F365" s="82"/>
      <c r="G365" s="83"/>
      <c r="H365" s="84"/>
      <c r="I365" s="85"/>
      <c r="J365" s="85"/>
      <c r="K365" s="85"/>
      <c r="L365" s="85"/>
      <c r="M365" s="93" t="e">
        <f>#REF!&amp;" "&amp;ContractorPayroll[[#This Row],[Employee ID Number / Code]]</f>
        <v>#REF!</v>
      </c>
      <c r="N365" s="71" t="str">
        <f>_xlfn.IFNA(IF(C365="","",VLOOKUP(ContractorPayroll[[#This Row],[Position / Title]],Lists!I:K,3,FALSE)),"")</f>
        <v/>
      </c>
      <c r="O365" s="42" t="str">
        <f>IF(ContractorPayroll[[#This Row],[Position / Title]]="","",VLOOKUP(ContractorPayroll[[#This Row],[Position / Title]],Lists!I:K,2,FALSE))</f>
        <v/>
      </c>
      <c r="P365" s="22" t="str">
        <f>IF(D365="","",ContractorPayroll[[#This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5" s="31">
        <f>IFERROR(IF(ContractorPayroll[[#This Row],[Annual Cost of Wage Increase included in Rate Adjustment]]=0,0,R365*'Facility Info Input'!$F$10),0)</f>
        <v>0</v>
      </c>
      <c r="T365" s="32">
        <f t="shared" si="20"/>
        <v>0</v>
      </c>
      <c r="U365" s="32">
        <f t="shared" si="21"/>
        <v>0</v>
      </c>
      <c r="V365" s="32">
        <f t="shared" si="22"/>
        <v>0</v>
      </c>
      <c r="W365" s="32">
        <f t="shared" si="23"/>
        <v>0</v>
      </c>
    </row>
    <row r="366" spans="1:23">
      <c r="A366" s="77"/>
      <c r="B366" s="76"/>
      <c r="C366" s="77"/>
      <c r="D366" s="81"/>
      <c r="E366" s="82"/>
      <c r="F366" s="82"/>
      <c r="G366" s="83"/>
      <c r="H366" s="84"/>
      <c r="I366" s="85"/>
      <c r="J366" s="85"/>
      <c r="K366" s="85"/>
      <c r="L366" s="85"/>
      <c r="M366" s="93" t="e">
        <f>#REF!&amp;" "&amp;ContractorPayroll[[#This Row],[Employee ID Number / Code]]</f>
        <v>#REF!</v>
      </c>
      <c r="N366" s="71" t="str">
        <f>_xlfn.IFNA(IF(C366="","",VLOOKUP(ContractorPayroll[[#This Row],[Position / Title]],Lists!I:K,3,FALSE)),"")</f>
        <v/>
      </c>
      <c r="O366" s="42" t="str">
        <f>IF(ContractorPayroll[[#This Row],[Position / Title]]="","",VLOOKUP(ContractorPayroll[[#This Row],[Position / Title]],Lists!I:K,2,FALSE))</f>
        <v/>
      </c>
      <c r="P366" s="22" t="str">
        <f>IF(D366="","",ContractorPayroll[[#This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6" s="31">
        <f>IFERROR(IF(ContractorPayroll[[#This Row],[Annual Cost of Wage Increase included in Rate Adjustment]]=0,0,R366*'Facility Info Input'!$F$10),0)</f>
        <v>0</v>
      </c>
      <c r="T366" s="32">
        <f t="shared" si="20"/>
        <v>0</v>
      </c>
      <c r="U366" s="32">
        <f t="shared" si="21"/>
        <v>0</v>
      </c>
      <c r="V366" s="32">
        <f t="shared" si="22"/>
        <v>0</v>
      </c>
      <c r="W366" s="32">
        <f t="shared" si="23"/>
        <v>0</v>
      </c>
    </row>
    <row r="367" spans="1:23">
      <c r="A367" s="77"/>
      <c r="B367" s="76"/>
      <c r="C367" s="77"/>
      <c r="D367" s="81"/>
      <c r="E367" s="82"/>
      <c r="F367" s="82"/>
      <c r="G367" s="83"/>
      <c r="H367" s="84"/>
      <c r="I367" s="85"/>
      <c r="J367" s="85"/>
      <c r="K367" s="85"/>
      <c r="L367" s="85"/>
      <c r="M367" s="93" t="e">
        <f>#REF!&amp;" "&amp;ContractorPayroll[[#This Row],[Employee ID Number / Code]]</f>
        <v>#REF!</v>
      </c>
      <c r="N367" s="71" t="str">
        <f>_xlfn.IFNA(IF(C367="","",VLOOKUP(ContractorPayroll[[#This Row],[Position / Title]],Lists!I:K,3,FALSE)),"")</f>
        <v/>
      </c>
      <c r="O367" s="42" t="str">
        <f>IF(ContractorPayroll[[#This Row],[Position / Title]]="","",VLOOKUP(ContractorPayroll[[#This Row],[Position / Title]],Lists!I:K,2,FALSE))</f>
        <v/>
      </c>
      <c r="P367" s="22" t="str">
        <f>IF(D367="","",ContractorPayroll[[#This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7" s="31">
        <f>IFERROR(IF(ContractorPayroll[[#This Row],[Annual Cost of Wage Increase included in Rate Adjustment]]=0,0,R367*'Facility Info Input'!$F$10),0)</f>
        <v>0</v>
      </c>
      <c r="T367" s="32">
        <f t="shared" si="20"/>
        <v>0</v>
      </c>
      <c r="U367" s="32">
        <f t="shared" si="21"/>
        <v>0</v>
      </c>
      <c r="V367" s="32">
        <f t="shared" si="22"/>
        <v>0</v>
      </c>
      <c r="W367" s="32">
        <f t="shared" si="23"/>
        <v>0</v>
      </c>
    </row>
    <row r="368" spans="1:23">
      <c r="A368" s="77"/>
      <c r="B368" s="76"/>
      <c r="C368" s="77"/>
      <c r="D368" s="81"/>
      <c r="E368" s="82"/>
      <c r="F368" s="82"/>
      <c r="G368" s="83"/>
      <c r="H368" s="84"/>
      <c r="I368" s="85"/>
      <c r="J368" s="85"/>
      <c r="K368" s="85"/>
      <c r="L368" s="85"/>
      <c r="M368" s="93" t="e">
        <f>#REF!&amp;" "&amp;ContractorPayroll[[#This Row],[Employee ID Number / Code]]</f>
        <v>#REF!</v>
      </c>
      <c r="N368" s="71" t="str">
        <f>_xlfn.IFNA(IF(C368="","",VLOOKUP(ContractorPayroll[[#This Row],[Position / Title]],Lists!I:K,3,FALSE)),"")</f>
        <v/>
      </c>
      <c r="O368" s="42" t="str">
        <f>IF(ContractorPayroll[[#This Row],[Position / Title]]="","",VLOOKUP(ContractorPayroll[[#This Row],[Position / Title]],Lists!I:K,2,FALSE))</f>
        <v/>
      </c>
      <c r="P368" s="22" t="str">
        <f>IF(D368="","",ContractorPayroll[[#This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8" s="31">
        <f>IFERROR(IF(ContractorPayroll[[#This Row],[Annual Cost of Wage Increase included in Rate Adjustment]]=0,0,R368*'Facility Info Input'!$F$10),0)</f>
        <v>0</v>
      </c>
      <c r="T368" s="32">
        <f t="shared" si="20"/>
        <v>0</v>
      </c>
      <c r="U368" s="32">
        <f t="shared" si="21"/>
        <v>0</v>
      </c>
      <c r="V368" s="32">
        <f t="shared" si="22"/>
        <v>0</v>
      </c>
      <c r="W368" s="32">
        <f t="shared" si="23"/>
        <v>0</v>
      </c>
    </row>
    <row r="369" spans="1:23">
      <c r="A369" s="77"/>
      <c r="B369" s="76"/>
      <c r="C369" s="77"/>
      <c r="D369" s="81"/>
      <c r="E369" s="82"/>
      <c r="F369" s="82"/>
      <c r="G369" s="83"/>
      <c r="H369" s="84"/>
      <c r="I369" s="85"/>
      <c r="J369" s="85"/>
      <c r="K369" s="85"/>
      <c r="L369" s="85"/>
      <c r="M369" s="93" t="e">
        <f>#REF!&amp;" "&amp;ContractorPayroll[[#This Row],[Employee ID Number / Code]]</f>
        <v>#REF!</v>
      </c>
      <c r="N369" s="71" t="str">
        <f>_xlfn.IFNA(IF(C369="","",VLOOKUP(ContractorPayroll[[#This Row],[Position / Title]],Lists!I:K,3,FALSE)),"")</f>
        <v/>
      </c>
      <c r="O369" s="42" t="str">
        <f>IF(ContractorPayroll[[#This Row],[Position / Title]]="","",VLOOKUP(ContractorPayroll[[#This Row],[Position / Title]],Lists!I:K,2,FALSE))</f>
        <v/>
      </c>
      <c r="P369" s="22" t="str">
        <f>IF(D369="","",ContractorPayroll[[#This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6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6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69" s="31">
        <f>IFERROR(IF(ContractorPayroll[[#This Row],[Annual Cost of Wage Increase included in Rate Adjustment]]=0,0,R369*'Facility Info Input'!$F$10),0)</f>
        <v>0</v>
      </c>
      <c r="T369" s="32">
        <f t="shared" si="20"/>
        <v>0</v>
      </c>
      <c r="U369" s="32">
        <f t="shared" si="21"/>
        <v>0</v>
      </c>
      <c r="V369" s="32">
        <f t="shared" si="22"/>
        <v>0</v>
      </c>
      <c r="W369" s="32">
        <f t="shared" si="23"/>
        <v>0</v>
      </c>
    </row>
    <row r="370" spans="1:23">
      <c r="A370" s="77"/>
      <c r="B370" s="76"/>
      <c r="C370" s="77"/>
      <c r="D370" s="81"/>
      <c r="E370" s="82"/>
      <c r="F370" s="82"/>
      <c r="G370" s="83"/>
      <c r="H370" s="84"/>
      <c r="I370" s="85"/>
      <c r="J370" s="85"/>
      <c r="K370" s="85"/>
      <c r="L370" s="85"/>
      <c r="M370" s="93" t="e">
        <f>#REF!&amp;" "&amp;ContractorPayroll[[#This Row],[Employee ID Number / Code]]</f>
        <v>#REF!</v>
      </c>
      <c r="N370" s="71" t="str">
        <f>_xlfn.IFNA(IF(C370="","",VLOOKUP(ContractorPayroll[[#This Row],[Position / Title]],Lists!I:K,3,FALSE)),"")</f>
        <v/>
      </c>
      <c r="O370" s="42" t="str">
        <f>IF(ContractorPayroll[[#This Row],[Position / Title]]="","",VLOOKUP(ContractorPayroll[[#This Row],[Position / Title]],Lists!I:K,2,FALSE))</f>
        <v/>
      </c>
      <c r="P370" s="22" t="str">
        <f>IF(D370="","",ContractorPayroll[[#This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0" s="31">
        <f>IFERROR(IF(ContractorPayroll[[#This Row],[Annual Cost of Wage Increase included in Rate Adjustment]]=0,0,R370*'Facility Info Input'!$F$10),0)</f>
        <v>0</v>
      </c>
      <c r="T370" s="32">
        <f t="shared" si="20"/>
        <v>0</v>
      </c>
      <c r="U370" s="32">
        <f t="shared" si="21"/>
        <v>0</v>
      </c>
      <c r="V370" s="32">
        <f t="shared" si="22"/>
        <v>0</v>
      </c>
      <c r="W370" s="32">
        <f t="shared" si="23"/>
        <v>0</v>
      </c>
    </row>
    <row r="371" spans="1:23">
      <c r="A371" s="77"/>
      <c r="B371" s="76"/>
      <c r="C371" s="77"/>
      <c r="D371" s="81"/>
      <c r="E371" s="82"/>
      <c r="F371" s="82"/>
      <c r="G371" s="92"/>
      <c r="H371" s="84"/>
      <c r="I371" s="85"/>
      <c r="J371" s="85"/>
      <c r="K371" s="85"/>
      <c r="L371" s="85"/>
      <c r="M371" s="93" t="e">
        <f>#REF!&amp;" "&amp;ContractorPayroll[[#This Row],[Employee ID Number / Code]]</f>
        <v>#REF!</v>
      </c>
      <c r="N371" s="71" t="str">
        <f>_xlfn.IFNA(IF(C371="","",VLOOKUP(ContractorPayroll[[#This Row],[Position / Title]],Lists!I:K,3,FALSE)),"")</f>
        <v/>
      </c>
      <c r="O371" s="42" t="str">
        <f>IF(ContractorPayroll[[#This Row],[Position / Title]]="","",VLOOKUP(ContractorPayroll[[#This Row],[Position / Title]],Lists!I:K,2,FALSE))</f>
        <v/>
      </c>
      <c r="P371" s="22" t="str">
        <f>IF(D371="","",ContractorPayroll[[#This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1" s="31">
        <f>IFERROR(IF(ContractorPayroll[[#This Row],[Annual Cost of Wage Increase included in Rate Adjustment]]=0,0,R371*'Facility Info Input'!$F$10),0)</f>
        <v>0</v>
      </c>
      <c r="T371" s="32">
        <f t="shared" si="20"/>
        <v>0</v>
      </c>
      <c r="U371" s="32">
        <f t="shared" si="21"/>
        <v>0</v>
      </c>
      <c r="V371" s="32">
        <f t="shared" si="22"/>
        <v>0</v>
      </c>
      <c r="W371" s="32">
        <f t="shared" si="23"/>
        <v>0</v>
      </c>
    </row>
    <row r="372" spans="1:23">
      <c r="A372" s="77"/>
      <c r="B372" s="76"/>
      <c r="C372" s="77"/>
      <c r="D372" s="81"/>
      <c r="E372" s="82"/>
      <c r="F372" s="82"/>
      <c r="G372" s="92"/>
      <c r="H372" s="84"/>
      <c r="I372" s="85"/>
      <c r="J372" s="85"/>
      <c r="K372" s="85"/>
      <c r="L372" s="85"/>
      <c r="M372" s="93" t="e">
        <f>#REF!&amp;" "&amp;ContractorPayroll[[#This Row],[Employee ID Number / Code]]</f>
        <v>#REF!</v>
      </c>
      <c r="N372" s="71" t="str">
        <f>_xlfn.IFNA(IF(C372="","",VLOOKUP(ContractorPayroll[[#This Row],[Position / Title]],Lists!I:K,3,FALSE)),"")</f>
        <v/>
      </c>
      <c r="O372" s="42" t="str">
        <f>IF(ContractorPayroll[[#This Row],[Position / Title]]="","",VLOOKUP(ContractorPayroll[[#This Row],[Position / Title]],Lists!I:K,2,FALSE))</f>
        <v/>
      </c>
      <c r="P372" s="22" t="str">
        <f>IF(D372="","",ContractorPayroll[[#This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2" s="31">
        <f>IFERROR(IF(ContractorPayroll[[#This Row],[Annual Cost of Wage Increase included in Rate Adjustment]]=0,0,R372*'Facility Info Input'!$F$10),0)</f>
        <v>0</v>
      </c>
      <c r="T372" s="32">
        <f t="shared" si="20"/>
        <v>0</v>
      </c>
      <c r="U372" s="32">
        <f t="shared" si="21"/>
        <v>0</v>
      </c>
      <c r="V372" s="32">
        <f t="shared" si="22"/>
        <v>0</v>
      </c>
      <c r="W372" s="32">
        <f t="shared" si="23"/>
        <v>0</v>
      </c>
    </row>
    <row r="373" spans="1:23">
      <c r="A373" s="77"/>
      <c r="B373" s="76"/>
      <c r="C373" s="77"/>
      <c r="D373" s="81"/>
      <c r="E373" s="82"/>
      <c r="F373" s="82"/>
      <c r="G373" s="92"/>
      <c r="H373" s="84"/>
      <c r="I373" s="85"/>
      <c r="J373" s="85"/>
      <c r="K373" s="85"/>
      <c r="L373" s="85"/>
      <c r="M373" s="93" t="e">
        <f>#REF!&amp;" "&amp;ContractorPayroll[[#This Row],[Employee ID Number / Code]]</f>
        <v>#REF!</v>
      </c>
      <c r="N373" s="71" t="str">
        <f>_xlfn.IFNA(IF(C373="","",VLOOKUP(ContractorPayroll[[#This Row],[Position / Title]],Lists!I:K,3,FALSE)),"")</f>
        <v/>
      </c>
      <c r="O373" s="42" t="str">
        <f>IF(ContractorPayroll[[#This Row],[Position / Title]]="","",VLOOKUP(ContractorPayroll[[#This Row],[Position / Title]],Lists!I:K,2,FALSE))</f>
        <v/>
      </c>
      <c r="P373" s="22" t="str">
        <f>IF(D373="","",ContractorPayroll[[#This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3" s="31">
        <f>IFERROR(IF(ContractorPayroll[[#This Row],[Annual Cost of Wage Increase included in Rate Adjustment]]=0,0,R373*'Facility Info Input'!$F$10),0)</f>
        <v>0</v>
      </c>
      <c r="T373" s="32">
        <f t="shared" si="20"/>
        <v>0</v>
      </c>
      <c r="U373" s="32">
        <f t="shared" si="21"/>
        <v>0</v>
      </c>
      <c r="V373" s="32">
        <f t="shared" si="22"/>
        <v>0</v>
      </c>
      <c r="W373" s="32">
        <f t="shared" si="23"/>
        <v>0</v>
      </c>
    </row>
    <row r="374" spans="1:23">
      <c r="A374" s="77"/>
      <c r="B374" s="76"/>
      <c r="C374" s="77"/>
      <c r="D374" s="81"/>
      <c r="E374" s="82"/>
      <c r="F374" s="82"/>
      <c r="G374" s="92"/>
      <c r="H374" s="84"/>
      <c r="I374" s="85"/>
      <c r="J374" s="85"/>
      <c r="K374" s="85"/>
      <c r="L374" s="85"/>
      <c r="M374" s="93" t="e">
        <f>#REF!&amp;" "&amp;ContractorPayroll[[#This Row],[Employee ID Number / Code]]</f>
        <v>#REF!</v>
      </c>
      <c r="N374" s="71" t="str">
        <f>_xlfn.IFNA(IF(C374="","",VLOOKUP(ContractorPayroll[[#This Row],[Position / Title]],Lists!I:K,3,FALSE)),"")</f>
        <v/>
      </c>
      <c r="O374" s="42" t="str">
        <f>IF(ContractorPayroll[[#This Row],[Position / Title]]="","",VLOOKUP(ContractorPayroll[[#This Row],[Position / Title]],Lists!I:K,2,FALSE))</f>
        <v/>
      </c>
      <c r="P374" s="22" t="str">
        <f>IF(D374="","",ContractorPayroll[[#This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4" s="31">
        <f>IFERROR(IF(ContractorPayroll[[#This Row],[Annual Cost of Wage Increase included in Rate Adjustment]]=0,0,R374*'Facility Info Input'!$F$10),0)</f>
        <v>0</v>
      </c>
      <c r="T374" s="32">
        <f t="shared" si="20"/>
        <v>0</v>
      </c>
      <c r="U374" s="32">
        <f t="shared" si="21"/>
        <v>0</v>
      </c>
      <c r="V374" s="32">
        <f t="shared" si="22"/>
        <v>0</v>
      </c>
      <c r="W374" s="32">
        <f t="shared" si="23"/>
        <v>0</v>
      </c>
    </row>
    <row r="375" spans="1:23">
      <c r="A375" s="77"/>
      <c r="B375" s="76"/>
      <c r="C375" s="77"/>
      <c r="D375" s="81"/>
      <c r="E375" s="82"/>
      <c r="F375" s="82"/>
      <c r="G375" s="92"/>
      <c r="H375" s="84"/>
      <c r="I375" s="85"/>
      <c r="J375" s="85"/>
      <c r="K375" s="85"/>
      <c r="L375" s="85"/>
      <c r="M375" s="93" t="e">
        <f>#REF!&amp;" "&amp;ContractorPayroll[[#This Row],[Employee ID Number / Code]]</f>
        <v>#REF!</v>
      </c>
      <c r="N375" s="71" t="str">
        <f>_xlfn.IFNA(IF(C375="","",VLOOKUP(ContractorPayroll[[#This Row],[Position / Title]],Lists!I:K,3,FALSE)),"")</f>
        <v/>
      </c>
      <c r="O375" s="42" t="str">
        <f>IF(ContractorPayroll[[#This Row],[Position / Title]]="","",VLOOKUP(ContractorPayroll[[#This Row],[Position / Title]],Lists!I:K,2,FALSE))</f>
        <v/>
      </c>
      <c r="P375" s="22" t="str">
        <f>IF(D375="","",ContractorPayroll[[#This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5" s="31">
        <f>IFERROR(IF(ContractorPayroll[[#This Row],[Annual Cost of Wage Increase included in Rate Adjustment]]=0,0,R375*'Facility Info Input'!$F$10),0)</f>
        <v>0</v>
      </c>
      <c r="T375" s="32">
        <f t="shared" si="20"/>
        <v>0</v>
      </c>
      <c r="U375" s="32">
        <f t="shared" si="21"/>
        <v>0</v>
      </c>
      <c r="V375" s="32">
        <f t="shared" si="22"/>
        <v>0</v>
      </c>
      <c r="W375" s="32">
        <f t="shared" si="23"/>
        <v>0</v>
      </c>
    </row>
    <row r="376" spans="1:23">
      <c r="A376" s="77"/>
      <c r="B376" s="76"/>
      <c r="C376" s="77"/>
      <c r="D376" s="81"/>
      <c r="E376" s="82"/>
      <c r="F376" s="82"/>
      <c r="G376" s="92"/>
      <c r="H376" s="84"/>
      <c r="I376" s="85"/>
      <c r="J376" s="85"/>
      <c r="K376" s="85"/>
      <c r="L376" s="85"/>
      <c r="M376" s="93" t="e">
        <f>#REF!&amp;" "&amp;ContractorPayroll[[#This Row],[Employee ID Number / Code]]</f>
        <v>#REF!</v>
      </c>
      <c r="N376" s="71" t="str">
        <f>_xlfn.IFNA(IF(C376="","",VLOOKUP(ContractorPayroll[[#This Row],[Position / Title]],Lists!I:K,3,FALSE)),"")</f>
        <v/>
      </c>
      <c r="O376" s="42" t="str">
        <f>IF(ContractorPayroll[[#This Row],[Position / Title]]="","",VLOOKUP(ContractorPayroll[[#This Row],[Position / Title]],Lists!I:K,2,FALSE))</f>
        <v/>
      </c>
      <c r="P376" s="22" t="str">
        <f>IF(D376="","",ContractorPayroll[[#This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6" s="31">
        <f>IFERROR(IF(ContractorPayroll[[#This Row],[Annual Cost of Wage Increase included in Rate Adjustment]]=0,0,R376*'Facility Info Input'!$F$10),0)</f>
        <v>0</v>
      </c>
      <c r="T376" s="32">
        <f t="shared" si="20"/>
        <v>0</v>
      </c>
      <c r="U376" s="32">
        <f t="shared" si="21"/>
        <v>0</v>
      </c>
      <c r="V376" s="32">
        <f t="shared" si="22"/>
        <v>0</v>
      </c>
      <c r="W376" s="32">
        <f t="shared" si="23"/>
        <v>0</v>
      </c>
    </row>
    <row r="377" spans="1:23">
      <c r="A377" s="77"/>
      <c r="B377" s="76"/>
      <c r="C377" s="77"/>
      <c r="D377" s="81"/>
      <c r="E377" s="82"/>
      <c r="F377" s="82"/>
      <c r="G377" s="92"/>
      <c r="H377" s="84"/>
      <c r="I377" s="85"/>
      <c r="J377" s="85"/>
      <c r="K377" s="85"/>
      <c r="L377" s="85"/>
      <c r="M377" s="93" t="e">
        <f>#REF!&amp;" "&amp;ContractorPayroll[[#This Row],[Employee ID Number / Code]]</f>
        <v>#REF!</v>
      </c>
      <c r="N377" s="71" t="str">
        <f>_xlfn.IFNA(IF(C377="","",VLOOKUP(ContractorPayroll[[#This Row],[Position / Title]],Lists!I:K,3,FALSE)),"")</f>
        <v/>
      </c>
      <c r="O377" s="42" t="str">
        <f>IF(ContractorPayroll[[#This Row],[Position / Title]]="","",VLOOKUP(ContractorPayroll[[#This Row],[Position / Title]],Lists!I:K,2,FALSE))</f>
        <v/>
      </c>
      <c r="P377" s="22" t="str">
        <f>IF(D377="","",ContractorPayroll[[#This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7" s="31">
        <f>IFERROR(IF(ContractorPayroll[[#This Row],[Annual Cost of Wage Increase included in Rate Adjustment]]=0,0,R377*'Facility Info Input'!$F$10),0)</f>
        <v>0</v>
      </c>
      <c r="T377" s="32">
        <f t="shared" si="20"/>
        <v>0</v>
      </c>
      <c r="U377" s="32">
        <f t="shared" si="21"/>
        <v>0</v>
      </c>
      <c r="V377" s="32">
        <f t="shared" si="22"/>
        <v>0</v>
      </c>
      <c r="W377" s="32">
        <f t="shared" si="23"/>
        <v>0</v>
      </c>
    </row>
    <row r="378" spans="1:23">
      <c r="A378" s="77"/>
      <c r="B378" s="76"/>
      <c r="C378" s="77"/>
      <c r="D378" s="81"/>
      <c r="E378" s="82"/>
      <c r="F378" s="82"/>
      <c r="G378" s="92"/>
      <c r="H378" s="84"/>
      <c r="I378" s="85"/>
      <c r="J378" s="85"/>
      <c r="K378" s="85"/>
      <c r="L378" s="85"/>
      <c r="M378" s="93" t="e">
        <f>#REF!&amp;" "&amp;ContractorPayroll[[#This Row],[Employee ID Number / Code]]</f>
        <v>#REF!</v>
      </c>
      <c r="N378" s="71" t="str">
        <f>_xlfn.IFNA(IF(C378="","",VLOOKUP(ContractorPayroll[[#This Row],[Position / Title]],Lists!I:K,3,FALSE)),"")</f>
        <v/>
      </c>
      <c r="O378" s="42" t="str">
        <f>IF(ContractorPayroll[[#This Row],[Position / Title]]="","",VLOOKUP(ContractorPayroll[[#This Row],[Position / Title]],Lists!I:K,2,FALSE))</f>
        <v/>
      </c>
      <c r="P378" s="22" t="str">
        <f>IF(D378="","",ContractorPayroll[[#This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8" s="31">
        <f>IFERROR(IF(ContractorPayroll[[#This Row],[Annual Cost of Wage Increase included in Rate Adjustment]]=0,0,R378*'Facility Info Input'!$F$10),0)</f>
        <v>0</v>
      </c>
      <c r="T378" s="32">
        <f t="shared" si="20"/>
        <v>0</v>
      </c>
      <c r="U378" s="32">
        <f t="shared" si="21"/>
        <v>0</v>
      </c>
      <c r="V378" s="32">
        <f t="shared" si="22"/>
        <v>0</v>
      </c>
      <c r="W378" s="32">
        <f t="shared" si="23"/>
        <v>0</v>
      </c>
    </row>
    <row r="379" spans="1:23">
      <c r="A379" s="77"/>
      <c r="B379" s="76"/>
      <c r="C379" s="77"/>
      <c r="D379" s="81"/>
      <c r="E379" s="82"/>
      <c r="F379" s="82"/>
      <c r="G379" s="92"/>
      <c r="H379" s="84"/>
      <c r="I379" s="85"/>
      <c r="J379" s="85"/>
      <c r="K379" s="85"/>
      <c r="L379" s="85"/>
      <c r="M379" s="93" t="e">
        <f>#REF!&amp;" "&amp;ContractorPayroll[[#This Row],[Employee ID Number / Code]]</f>
        <v>#REF!</v>
      </c>
      <c r="N379" s="71" t="str">
        <f>_xlfn.IFNA(IF(C379="","",VLOOKUP(ContractorPayroll[[#This Row],[Position / Title]],Lists!I:K,3,FALSE)),"")</f>
        <v/>
      </c>
      <c r="O379" s="42" t="str">
        <f>IF(ContractorPayroll[[#This Row],[Position / Title]]="","",VLOOKUP(ContractorPayroll[[#This Row],[Position / Title]],Lists!I:K,2,FALSE))</f>
        <v/>
      </c>
      <c r="P379" s="22" t="str">
        <f>IF(D379="","",ContractorPayroll[[#This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7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7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79" s="31">
        <f>IFERROR(IF(ContractorPayroll[[#This Row],[Annual Cost of Wage Increase included in Rate Adjustment]]=0,0,R379*'Facility Info Input'!$F$10),0)</f>
        <v>0</v>
      </c>
      <c r="T379" s="32">
        <f t="shared" si="20"/>
        <v>0</v>
      </c>
      <c r="U379" s="32">
        <f t="shared" si="21"/>
        <v>0</v>
      </c>
      <c r="V379" s="32">
        <f t="shared" si="22"/>
        <v>0</v>
      </c>
      <c r="W379" s="32">
        <f t="shared" si="23"/>
        <v>0</v>
      </c>
    </row>
    <row r="380" spans="1:23">
      <c r="A380" s="77"/>
      <c r="B380" s="76"/>
      <c r="C380" s="77"/>
      <c r="D380" s="81"/>
      <c r="E380" s="82"/>
      <c r="F380" s="82"/>
      <c r="G380" s="92"/>
      <c r="H380" s="84"/>
      <c r="I380" s="85"/>
      <c r="J380" s="85"/>
      <c r="K380" s="85"/>
      <c r="L380" s="85"/>
      <c r="M380" s="93" t="e">
        <f>#REF!&amp;" "&amp;ContractorPayroll[[#This Row],[Employee ID Number / Code]]</f>
        <v>#REF!</v>
      </c>
      <c r="N380" s="71" t="str">
        <f>_xlfn.IFNA(IF(C380="","",VLOOKUP(ContractorPayroll[[#This Row],[Position / Title]],Lists!I:K,3,FALSE)),"")</f>
        <v/>
      </c>
      <c r="O380" s="42" t="str">
        <f>IF(ContractorPayroll[[#This Row],[Position / Title]]="","",VLOOKUP(ContractorPayroll[[#This Row],[Position / Title]],Lists!I:K,2,FALSE))</f>
        <v/>
      </c>
      <c r="P380" s="22" t="str">
        <f>IF(D380="","",ContractorPayroll[[#This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0" s="31">
        <f>IFERROR(IF(ContractorPayroll[[#This Row],[Annual Cost of Wage Increase included in Rate Adjustment]]=0,0,R380*'Facility Info Input'!$F$10),0)</f>
        <v>0</v>
      </c>
      <c r="T380" s="32">
        <f t="shared" si="20"/>
        <v>0</v>
      </c>
      <c r="U380" s="32">
        <f t="shared" si="21"/>
        <v>0</v>
      </c>
      <c r="V380" s="32">
        <f t="shared" si="22"/>
        <v>0</v>
      </c>
      <c r="W380" s="32">
        <f t="shared" si="23"/>
        <v>0</v>
      </c>
    </row>
    <row r="381" spans="1:23">
      <c r="A381" s="77"/>
      <c r="B381" s="76"/>
      <c r="C381" s="77"/>
      <c r="D381" s="81"/>
      <c r="E381" s="82"/>
      <c r="F381" s="82"/>
      <c r="G381" s="92"/>
      <c r="H381" s="84"/>
      <c r="I381" s="85"/>
      <c r="J381" s="85"/>
      <c r="K381" s="85"/>
      <c r="L381" s="85"/>
      <c r="M381" s="93" t="e">
        <f>#REF!&amp;" "&amp;ContractorPayroll[[#This Row],[Employee ID Number / Code]]</f>
        <v>#REF!</v>
      </c>
      <c r="N381" s="71" t="str">
        <f>_xlfn.IFNA(IF(C381="","",VLOOKUP(ContractorPayroll[[#This Row],[Position / Title]],Lists!I:K,3,FALSE)),"")</f>
        <v/>
      </c>
      <c r="O381" s="42" t="str">
        <f>IF(ContractorPayroll[[#This Row],[Position / Title]]="","",VLOOKUP(ContractorPayroll[[#This Row],[Position / Title]],Lists!I:K,2,FALSE))</f>
        <v/>
      </c>
      <c r="P381" s="22" t="str">
        <f>IF(D381="","",ContractorPayroll[[#This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1" s="31">
        <f>IFERROR(IF(ContractorPayroll[[#This Row],[Annual Cost of Wage Increase included in Rate Adjustment]]=0,0,R381*'Facility Info Input'!$F$10),0)</f>
        <v>0</v>
      </c>
      <c r="T381" s="32">
        <f t="shared" si="20"/>
        <v>0</v>
      </c>
      <c r="U381" s="32">
        <f t="shared" si="21"/>
        <v>0</v>
      </c>
      <c r="V381" s="32">
        <f t="shared" si="22"/>
        <v>0</v>
      </c>
      <c r="W381" s="32">
        <f t="shared" si="23"/>
        <v>0</v>
      </c>
    </row>
    <row r="382" spans="1:23">
      <c r="A382" s="77"/>
      <c r="B382" s="76"/>
      <c r="C382" s="77"/>
      <c r="D382" s="81"/>
      <c r="E382" s="82"/>
      <c r="F382" s="82"/>
      <c r="G382" s="92"/>
      <c r="H382" s="84"/>
      <c r="I382" s="85"/>
      <c r="J382" s="85"/>
      <c r="K382" s="85"/>
      <c r="L382" s="85"/>
      <c r="M382" s="93" t="e">
        <f>#REF!&amp;" "&amp;ContractorPayroll[[#This Row],[Employee ID Number / Code]]</f>
        <v>#REF!</v>
      </c>
      <c r="N382" s="71" t="str">
        <f>_xlfn.IFNA(IF(C382="","",VLOOKUP(ContractorPayroll[[#This Row],[Position / Title]],Lists!I:K,3,FALSE)),"")</f>
        <v/>
      </c>
      <c r="O382" s="42" t="str">
        <f>IF(ContractorPayroll[[#This Row],[Position / Title]]="","",VLOOKUP(ContractorPayroll[[#This Row],[Position / Title]],Lists!I:K,2,FALSE))</f>
        <v/>
      </c>
      <c r="P382" s="22" t="str">
        <f>IF(D382="","",ContractorPayroll[[#This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2" s="31">
        <f>IFERROR(IF(ContractorPayroll[[#This Row],[Annual Cost of Wage Increase included in Rate Adjustment]]=0,0,R382*'Facility Info Input'!$F$10),0)</f>
        <v>0</v>
      </c>
      <c r="T382" s="32">
        <f t="shared" si="20"/>
        <v>0</v>
      </c>
      <c r="U382" s="32">
        <f t="shared" si="21"/>
        <v>0</v>
      </c>
      <c r="V382" s="32">
        <f t="shared" si="22"/>
        <v>0</v>
      </c>
      <c r="W382" s="32">
        <f t="shared" si="23"/>
        <v>0</v>
      </c>
    </row>
    <row r="383" spans="1:23">
      <c r="A383" s="77"/>
      <c r="B383" s="76"/>
      <c r="C383" s="77"/>
      <c r="D383" s="81"/>
      <c r="E383" s="82"/>
      <c r="F383" s="82"/>
      <c r="G383" s="92"/>
      <c r="H383" s="84"/>
      <c r="I383" s="85"/>
      <c r="J383" s="85"/>
      <c r="K383" s="85"/>
      <c r="L383" s="85"/>
      <c r="M383" s="93" t="e">
        <f>#REF!&amp;" "&amp;ContractorPayroll[[#This Row],[Employee ID Number / Code]]</f>
        <v>#REF!</v>
      </c>
      <c r="N383" s="71" t="str">
        <f>_xlfn.IFNA(IF(C383="","",VLOOKUP(ContractorPayroll[[#This Row],[Position / Title]],Lists!I:K,3,FALSE)),"")</f>
        <v/>
      </c>
      <c r="O383" s="42" t="str">
        <f>IF(ContractorPayroll[[#This Row],[Position / Title]]="","",VLOOKUP(ContractorPayroll[[#This Row],[Position / Title]],Lists!I:K,2,FALSE))</f>
        <v/>
      </c>
      <c r="P383" s="22" t="str">
        <f>IF(D383="","",ContractorPayroll[[#This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3" s="31">
        <f>IFERROR(IF(ContractorPayroll[[#This Row],[Annual Cost of Wage Increase included in Rate Adjustment]]=0,0,R383*'Facility Info Input'!$F$10),0)</f>
        <v>0</v>
      </c>
      <c r="T383" s="32">
        <f t="shared" si="20"/>
        <v>0</v>
      </c>
      <c r="U383" s="32">
        <f t="shared" si="21"/>
        <v>0</v>
      </c>
      <c r="V383" s="32">
        <f t="shared" si="22"/>
        <v>0</v>
      </c>
      <c r="W383" s="32">
        <f t="shared" si="23"/>
        <v>0</v>
      </c>
    </row>
    <row r="384" spans="1:23">
      <c r="A384" s="77"/>
      <c r="B384" s="76"/>
      <c r="C384" s="77"/>
      <c r="D384" s="81"/>
      <c r="E384" s="82"/>
      <c r="F384" s="82"/>
      <c r="G384" s="92"/>
      <c r="H384" s="84"/>
      <c r="I384" s="85"/>
      <c r="J384" s="85"/>
      <c r="K384" s="85"/>
      <c r="L384" s="85"/>
      <c r="M384" s="93" t="e">
        <f>#REF!&amp;" "&amp;ContractorPayroll[[#This Row],[Employee ID Number / Code]]</f>
        <v>#REF!</v>
      </c>
      <c r="N384" s="71" t="str">
        <f>_xlfn.IFNA(IF(C384="","",VLOOKUP(ContractorPayroll[[#This Row],[Position / Title]],Lists!I:K,3,FALSE)),"")</f>
        <v/>
      </c>
      <c r="O384" s="42" t="str">
        <f>IF(ContractorPayroll[[#This Row],[Position / Title]]="","",VLOOKUP(ContractorPayroll[[#This Row],[Position / Title]],Lists!I:K,2,FALSE))</f>
        <v/>
      </c>
      <c r="P384" s="22" t="str">
        <f>IF(D384="","",ContractorPayroll[[#This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4" s="31">
        <f>IFERROR(IF(ContractorPayroll[[#This Row],[Annual Cost of Wage Increase included in Rate Adjustment]]=0,0,R384*'Facility Info Input'!$F$10),0)</f>
        <v>0</v>
      </c>
      <c r="T384" s="32">
        <f t="shared" si="20"/>
        <v>0</v>
      </c>
      <c r="U384" s="32">
        <f t="shared" si="21"/>
        <v>0</v>
      </c>
      <c r="V384" s="32">
        <f t="shared" si="22"/>
        <v>0</v>
      </c>
      <c r="W384" s="32">
        <f t="shared" si="23"/>
        <v>0</v>
      </c>
    </row>
    <row r="385" spans="1:23">
      <c r="A385" s="77"/>
      <c r="B385" s="76"/>
      <c r="C385" s="77"/>
      <c r="D385" s="81"/>
      <c r="E385" s="82"/>
      <c r="F385" s="82"/>
      <c r="G385" s="92"/>
      <c r="H385" s="84"/>
      <c r="I385" s="85"/>
      <c r="J385" s="85"/>
      <c r="K385" s="85"/>
      <c r="L385" s="85"/>
      <c r="M385" s="93" t="e">
        <f>#REF!&amp;" "&amp;ContractorPayroll[[#This Row],[Employee ID Number / Code]]</f>
        <v>#REF!</v>
      </c>
      <c r="N385" s="71" t="str">
        <f>_xlfn.IFNA(IF(C385="","",VLOOKUP(ContractorPayroll[[#This Row],[Position / Title]],Lists!I:K,3,FALSE)),"")</f>
        <v/>
      </c>
      <c r="O385" s="42" t="str">
        <f>IF(ContractorPayroll[[#This Row],[Position / Title]]="","",VLOOKUP(ContractorPayroll[[#This Row],[Position / Title]],Lists!I:K,2,FALSE))</f>
        <v/>
      </c>
      <c r="P385" s="22" t="str">
        <f>IF(D385="","",ContractorPayroll[[#This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5" s="31">
        <f>IFERROR(IF(ContractorPayroll[[#This Row],[Annual Cost of Wage Increase included in Rate Adjustment]]=0,0,R385*'Facility Info Input'!$F$10),0)</f>
        <v>0</v>
      </c>
      <c r="T385" s="32">
        <f t="shared" si="20"/>
        <v>0</v>
      </c>
      <c r="U385" s="32">
        <f t="shared" si="21"/>
        <v>0</v>
      </c>
      <c r="V385" s="32">
        <f t="shared" si="22"/>
        <v>0</v>
      </c>
      <c r="W385" s="32">
        <f t="shared" si="23"/>
        <v>0</v>
      </c>
    </row>
    <row r="386" spans="1:23">
      <c r="A386" s="77"/>
      <c r="B386" s="76"/>
      <c r="C386" s="77"/>
      <c r="D386" s="81"/>
      <c r="E386" s="82"/>
      <c r="F386" s="82"/>
      <c r="G386" s="92"/>
      <c r="H386" s="84"/>
      <c r="I386" s="85"/>
      <c r="J386" s="85"/>
      <c r="K386" s="85"/>
      <c r="L386" s="85"/>
      <c r="M386" s="93" t="e">
        <f>#REF!&amp;" "&amp;ContractorPayroll[[#This Row],[Employee ID Number / Code]]</f>
        <v>#REF!</v>
      </c>
      <c r="N386" s="71" t="str">
        <f>_xlfn.IFNA(IF(C386="","",VLOOKUP(ContractorPayroll[[#This Row],[Position / Title]],Lists!I:K,3,FALSE)),"")</f>
        <v/>
      </c>
      <c r="O386" s="42" t="str">
        <f>IF(ContractorPayroll[[#This Row],[Position / Title]]="","",VLOOKUP(ContractorPayroll[[#This Row],[Position / Title]],Lists!I:K,2,FALSE))</f>
        <v/>
      </c>
      <c r="P386" s="22" t="str">
        <f>IF(D386="","",ContractorPayroll[[#This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6" s="31">
        <f>IFERROR(IF(ContractorPayroll[[#This Row],[Annual Cost of Wage Increase included in Rate Adjustment]]=0,0,R386*'Facility Info Input'!$F$10),0)</f>
        <v>0</v>
      </c>
      <c r="T386" s="32">
        <f t="shared" ref="T386:T400" si="24">IFERROR(J386*R386,0)</f>
        <v>0</v>
      </c>
      <c r="U386" s="32">
        <f t="shared" ref="U386:U400" si="25">IFERROR(K386*R386,0)</f>
        <v>0</v>
      </c>
      <c r="V386" s="32">
        <f t="shared" ref="V386:V400" si="26">IFERROR(IF(H386="Yes",I386*R386,0),0)</f>
        <v>0</v>
      </c>
      <c r="W386" s="32">
        <f t="shared" si="23"/>
        <v>0</v>
      </c>
    </row>
    <row r="387" spans="1:23">
      <c r="A387" s="77"/>
      <c r="B387" s="76"/>
      <c r="C387" s="77"/>
      <c r="D387" s="81"/>
      <c r="E387" s="82"/>
      <c r="F387" s="82"/>
      <c r="G387" s="92"/>
      <c r="H387" s="84"/>
      <c r="I387" s="85"/>
      <c r="J387" s="85"/>
      <c r="K387" s="85"/>
      <c r="L387" s="85"/>
      <c r="M387" s="93" t="e">
        <f>#REF!&amp;" "&amp;ContractorPayroll[[#This Row],[Employee ID Number / Code]]</f>
        <v>#REF!</v>
      </c>
      <c r="N387" s="71" t="str">
        <f>_xlfn.IFNA(IF(C387="","",VLOOKUP(ContractorPayroll[[#This Row],[Position / Title]],Lists!I:K,3,FALSE)),"")</f>
        <v/>
      </c>
      <c r="O387" s="42" t="str">
        <f>IF(ContractorPayroll[[#This Row],[Position / Title]]="","",VLOOKUP(ContractorPayroll[[#This Row],[Position / Title]],Lists!I:K,2,FALSE))</f>
        <v/>
      </c>
      <c r="P387" s="22" t="str">
        <f>IF(D387="","",ContractorPayroll[[#This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7" s="31">
        <f>IFERROR(IF(ContractorPayroll[[#This Row],[Annual Cost of Wage Increase included in Rate Adjustment]]=0,0,R387*'Facility Info Input'!$F$10),0)</f>
        <v>0</v>
      </c>
      <c r="T387" s="32">
        <f t="shared" si="24"/>
        <v>0</v>
      </c>
      <c r="U387" s="32">
        <f t="shared" si="25"/>
        <v>0</v>
      </c>
      <c r="V387" s="32">
        <f t="shared" si="26"/>
        <v>0</v>
      </c>
      <c r="W387" s="32">
        <f t="shared" ref="W387:W400" si="27">IFERROR(SUM(R387:V387),0)</f>
        <v>0</v>
      </c>
    </row>
    <row r="388" spans="1:23">
      <c r="A388" s="77"/>
      <c r="B388" s="76"/>
      <c r="C388" s="77"/>
      <c r="D388" s="81"/>
      <c r="E388" s="82"/>
      <c r="F388" s="82"/>
      <c r="G388" s="83"/>
      <c r="H388" s="84"/>
      <c r="I388" s="85"/>
      <c r="J388" s="85"/>
      <c r="K388" s="85"/>
      <c r="L388" s="85"/>
      <c r="M388" s="93" t="e">
        <f>#REF!&amp;" "&amp;ContractorPayroll[[#This Row],[Employee ID Number / Code]]</f>
        <v>#REF!</v>
      </c>
      <c r="N388" s="71" t="str">
        <f>_xlfn.IFNA(IF(C388="","",VLOOKUP(ContractorPayroll[[#This Row],[Position / Title]],Lists!I:K,3,FALSE)),"")</f>
        <v/>
      </c>
      <c r="O388" s="42" t="str">
        <f>IF(ContractorPayroll[[#This Row],[Position / Title]]="","",VLOOKUP(ContractorPayroll[[#This Row],[Position / Title]],Lists!I:K,2,FALSE))</f>
        <v/>
      </c>
      <c r="P388" s="22" t="str">
        <f>IF(D388="","",ContractorPayroll[[#This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8" s="31">
        <f>IFERROR(IF(ContractorPayroll[[#This Row],[Annual Cost of Wage Increase included in Rate Adjustment]]=0,0,R388*'Facility Info Input'!$F$10),0)</f>
        <v>0</v>
      </c>
      <c r="T388" s="32">
        <f t="shared" si="24"/>
        <v>0</v>
      </c>
      <c r="U388" s="32">
        <f t="shared" si="25"/>
        <v>0</v>
      </c>
      <c r="V388" s="32">
        <f t="shared" si="26"/>
        <v>0</v>
      </c>
      <c r="W388" s="32">
        <f t="shared" si="27"/>
        <v>0</v>
      </c>
    </row>
    <row r="389" spans="1:23">
      <c r="A389" s="77"/>
      <c r="B389" s="76"/>
      <c r="C389" s="77"/>
      <c r="D389" s="81"/>
      <c r="E389" s="82"/>
      <c r="F389" s="82"/>
      <c r="G389" s="83"/>
      <c r="H389" s="84"/>
      <c r="I389" s="85"/>
      <c r="J389" s="85"/>
      <c r="K389" s="85"/>
      <c r="L389" s="85"/>
      <c r="M389" s="93" t="e">
        <f>#REF!&amp;" "&amp;ContractorPayroll[[#This Row],[Employee ID Number / Code]]</f>
        <v>#REF!</v>
      </c>
      <c r="N389" s="71" t="str">
        <f>_xlfn.IFNA(IF(C389="","",VLOOKUP(ContractorPayroll[[#This Row],[Position / Title]],Lists!I:K,3,FALSE)),"")</f>
        <v/>
      </c>
      <c r="O389" s="42" t="str">
        <f>IF(ContractorPayroll[[#This Row],[Position / Title]]="","",VLOOKUP(ContractorPayroll[[#This Row],[Position / Title]],Lists!I:K,2,FALSE))</f>
        <v/>
      </c>
      <c r="P389" s="22" t="str">
        <f>IF(D389="","",ContractorPayroll[[#This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8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8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89" s="31">
        <f>IFERROR(IF(ContractorPayroll[[#This Row],[Annual Cost of Wage Increase included in Rate Adjustment]]=0,0,R389*'Facility Info Input'!$F$10),0)</f>
        <v>0</v>
      </c>
      <c r="T389" s="32">
        <f t="shared" si="24"/>
        <v>0</v>
      </c>
      <c r="U389" s="32">
        <f t="shared" si="25"/>
        <v>0</v>
      </c>
      <c r="V389" s="32">
        <f t="shared" si="26"/>
        <v>0</v>
      </c>
      <c r="W389" s="32">
        <f t="shared" si="27"/>
        <v>0</v>
      </c>
    </row>
    <row r="390" spans="1:23">
      <c r="A390" s="77"/>
      <c r="B390" s="76"/>
      <c r="C390" s="77"/>
      <c r="D390" s="81"/>
      <c r="E390" s="82"/>
      <c r="F390" s="82"/>
      <c r="G390" s="83"/>
      <c r="H390" s="84"/>
      <c r="I390" s="85"/>
      <c r="J390" s="85"/>
      <c r="K390" s="85"/>
      <c r="L390" s="85"/>
      <c r="M390" s="93" t="e">
        <f>#REF!&amp;" "&amp;ContractorPayroll[[#This Row],[Employee ID Number / Code]]</f>
        <v>#REF!</v>
      </c>
      <c r="N390" s="71" t="str">
        <f>_xlfn.IFNA(IF(C390="","",VLOOKUP(ContractorPayroll[[#This Row],[Position / Title]],Lists!I:K,3,FALSE)),"")</f>
        <v/>
      </c>
      <c r="O390" s="42" t="str">
        <f>IF(ContractorPayroll[[#This Row],[Position / Title]]="","",VLOOKUP(ContractorPayroll[[#This Row],[Position / Title]],Lists!I:K,2,FALSE))</f>
        <v/>
      </c>
      <c r="P390" s="22" t="str">
        <f>IF(D390="","",ContractorPayroll[[#This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0" s="31">
        <f>IFERROR(IF(ContractorPayroll[[#This Row],[Annual Cost of Wage Increase included in Rate Adjustment]]=0,0,R390*'Facility Info Input'!$F$10),0)</f>
        <v>0</v>
      </c>
      <c r="T390" s="32">
        <f t="shared" si="24"/>
        <v>0</v>
      </c>
      <c r="U390" s="32">
        <f t="shared" si="25"/>
        <v>0</v>
      </c>
      <c r="V390" s="32">
        <f t="shared" si="26"/>
        <v>0</v>
      </c>
      <c r="W390" s="32">
        <f t="shared" si="27"/>
        <v>0</v>
      </c>
    </row>
    <row r="391" spans="1:23">
      <c r="A391" s="77"/>
      <c r="B391" s="76"/>
      <c r="C391" s="77"/>
      <c r="D391" s="81"/>
      <c r="E391" s="82"/>
      <c r="F391" s="82"/>
      <c r="G391" s="83"/>
      <c r="H391" s="84"/>
      <c r="I391" s="85"/>
      <c r="J391" s="85"/>
      <c r="K391" s="85"/>
      <c r="L391" s="85"/>
      <c r="M391" s="93" t="e">
        <f>#REF!&amp;" "&amp;ContractorPayroll[[#This Row],[Employee ID Number / Code]]</f>
        <v>#REF!</v>
      </c>
      <c r="N391" s="71" t="str">
        <f>_xlfn.IFNA(IF(C391="","",VLOOKUP(ContractorPayroll[[#This Row],[Position / Title]],Lists!I:K,3,FALSE)),"")</f>
        <v/>
      </c>
      <c r="O391" s="42" t="str">
        <f>IF(ContractorPayroll[[#This Row],[Position / Title]]="","",VLOOKUP(ContractorPayroll[[#This Row],[Position / Title]],Lists!I:K,2,FALSE))</f>
        <v/>
      </c>
      <c r="P391" s="22" t="str">
        <f>IF(D391="","",ContractorPayroll[[#This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1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1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1" s="31">
        <f>IFERROR(IF(ContractorPayroll[[#This Row],[Annual Cost of Wage Increase included in Rate Adjustment]]=0,0,R391*'Facility Info Input'!$F$10),0)</f>
        <v>0</v>
      </c>
      <c r="T391" s="32">
        <f t="shared" si="24"/>
        <v>0</v>
      </c>
      <c r="U391" s="32">
        <f t="shared" si="25"/>
        <v>0</v>
      </c>
      <c r="V391" s="32">
        <f t="shared" si="26"/>
        <v>0</v>
      </c>
      <c r="W391" s="32">
        <f t="shared" si="27"/>
        <v>0</v>
      </c>
    </row>
    <row r="392" spans="1:23">
      <c r="A392" s="77"/>
      <c r="B392" s="76"/>
      <c r="C392" s="77"/>
      <c r="D392" s="81"/>
      <c r="E392" s="82"/>
      <c r="F392" s="82"/>
      <c r="G392" s="83"/>
      <c r="H392" s="84"/>
      <c r="I392" s="85"/>
      <c r="J392" s="85"/>
      <c r="K392" s="85"/>
      <c r="L392" s="85"/>
      <c r="M392" s="93" t="e">
        <f>#REF!&amp;" "&amp;ContractorPayroll[[#This Row],[Employee ID Number / Code]]</f>
        <v>#REF!</v>
      </c>
      <c r="N392" s="71" t="str">
        <f>_xlfn.IFNA(IF(C392="","",VLOOKUP(ContractorPayroll[[#This Row],[Position / Title]],Lists!I:K,3,FALSE)),"")</f>
        <v/>
      </c>
      <c r="O392" s="42" t="str">
        <f>IF(ContractorPayroll[[#This Row],[Position / Title]]="","",VLOOKUP(ContractorPayroll[[#This Row],[Position / Title]],Lists!I:K,2,FALSE))</f>
        <v/>
      </c>
      <c r="P392" s="22" t="str">
        <f>IF(D392="","",ContractorPayroll[[#This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2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2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2" s="31">
        <f>IFERROR(IF(ContractorPayroll[[#This Row],[Annual Cost of Wage Increase included in Rate Adjustment]]=0,0,R392*'Facility Info Input'!$F$10),0)</f>
        <v>0</v>
      </c>
      <c r="T392" s="32">
        <f t="shared" si="24"/>
        <v>0</v>
      </c>
      <c r="U392" s="32">
        <f t="shared" si="25"/>
        <v>0</v>
      </c>
      <c r="V392" s="32">
        <f t="shared" si="26"/>
        <v>0</v>
      </c>
      <c r="W392" s="32">
        <f t="shared" si="27"/>
        <v>0</v>
      </c>
    </row>
    <row r="393" spans="1:23">
      <c r="A393" s="77"/>
      <c r="B393" s="76"/>
      <c r="C393" s="77"/>
      <c r="D393" s="81"/>
      <c r="E393" s="82"/>
      <c r="F393" s="82"/>
      <c r="G393" s="83"/>
      <c r="H393" s="84"/>
      <c r="I393" s="85"/>
      <c r="J393" s="85"/>
      <c r="K393" s="85"/>
      <c r="L393" s="85"/>
      <c r="M393" s="93" t="e">
        <f>#REF!&amp;" "&amp;ContractorPayroll[[#This Row],[Employee ID Number / Code]]</f>
        <v>#REF!</v>
      </c>
      <c r="N393" s="71" t="str">
        <f>_xlfn.IFNA(IF(C393="","",VLOOKUP(ContractorPayroll[[#This Row],[Position / Title]],Lists!I:K,3,FALSE)),"")</f>
        <v/>
      </c>
      <c r="O393" s="42" t="str">
        <f>IF(ContractorPayroll[[#This Row],[Position / Title]]="","",VLOOKUP(ContractorPayroll[[#This Row],[Position / Title]],Lists!I:K,2,FALSE))</f>
        <v/>
      </c>
      <c r="P393" s="22" t="str">
        <f>IF(D393="","",ContractorPayroll[[#This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3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3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3" s="31">
        <f>IFERROR(IF(ContractorPayroll[[#This Row],[Annual Cost of Wage Increase included in Rate Adjustment]]=0,0,R393*'Facility Info Input'!$F$10),0)</f>
        <v>0</v>
      </c>
      <c r="T393" s="32">
        <f t="shared" si="24"/>
        <v>0</v>
      </c>
      <c r="U393" s="32">
        <f t="shared" si="25"/>
        <v>0</v>
      </c>
      <c r="V393" s="32">
        <f t="shared" si="26"/>
        <v>0</v>
      </c>
      <c r="W393" s="32">
        <f t="shared" si="27"/>
        <v>0</v>
      </c>
    </row>
    <row r="394" spans="1:23">
      <c r="A394" s="77"/>
      <c r="B394" s="76"/>
      <c r="C394" s="77"/>
      <c r="D394" s="81"/>
      <c r="E394" s="82"/>
      <c r="F394" s="82"/>
      <c r="G394" s="83"/>
      <c r="H394" s="84"/>
      <c r="I394" s="85"/>
      <c r="J394" s="85"/>
      <c r="K394" s="85"/>
      <c r="L394" s="85"/>
      <c r="M394" s="93" t="e">
        <f>#REF!&amp;" "&amp;ContractorPayroll[[#This Row],[Employee ID Number / Code]]</f>
        <v>#REF!</v>
      </c>
      <c r="N394" s="71" t="str">
        <f>_xlfn.IFNA(IF(C394="","",VLOOKUP(ContractorPayroll[[#This Row],[Position / Title]],Lists!I:K,3,FALSE)),"")</f>
        <v/>
      </c>
      <c r="O394" s="42" t="str">
        <f>IF(ContractorPayroll[[#This Row],[Position / Title]]="","",VLOOKUP(ContractorPayroll[[#This Row],[Position / Title]],Lists!I:K,2,FALSE))</f>
        <v/>
      </c>
      <c r="P394" s="22" t="str">
        <f>IF(D394="","",ContractorPayroll[[#This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4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4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4" s="31">
        <f>IFERROR(IF(ContractorPayroll[[#This Row],[Annual Cost of Wage Increase included in Rate Adjustment]]=0,0,R394*'Facility Info Input'!$F$10),0)</f>
        <v>0</v>
      </c>
      <c r="T394" s="32">
        <f t="shared" si="24"/>
        <v>0</v>
      </c>
      <c r="U394" s="32">
        <f t="shared" si="25"/>
        <v>0</v>
      </c>
      <c r="V394" s="32">
        <f t="shared" si="26"/>
        <v>0</v>
      </c>
      <c r="W394" s="32">
        <f t="shared" si="27"/>
        <v>0</v>
      </c>
    </row>
    <row r="395" spans="1:23">
      <c r="A395" s="77"/>
      <c r="B395" s="76"/>
      <c r="C395" s="77"/>
      <c r="D395" s="81"/>
      <c r="E395" s="82"/>
      <c r="F395" s="82"/>
      <c r="G395" s="83"/>
      <c r="H395" s="84"/>
      <c r="I395" s="85"/>
      <c r="J395" s="85"/>
      <c r="K395" s="85"/>
      <c r="L395" s="85"/>
      <c r="M395" s="93" t="e">
        <f>#REF!&amp;" "&amp;ContractorPayroll[[#This Row],[Employee ID Number / Code]]</f>
        <v>#REF!</v>
      </c>
      <c r="N395" s="71" t="str">
        <f>_xlfn.IFNA(IF(C395="","",VLOOKUP(ContractorPayroll[[#This Row],[Position / Title]],Lists!I:K,3,FALSE)),"")</f>
        <v/>
      </c>
      <c r="O395" s="42" t="str">
        <f>IF(ContractorPayroll[[#This Row],[Position / Title]]="","",VLOOKUP(ContractorPayroll[[#This Row],[Position / Title]],Lists!I:K,2,FALSE))</f>
        <v/>
      </c>
      <c r="P395" s="22" t="str">
        <f>IF(D395="","",ContractorPayroll[[#This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5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5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5" s="31">
        <f>IFERROR(IF(ContractorPayroll[[#This Row],[Annual Cost of Wage Increase included in Rate Adjustment]]=0,0,R395*'Facility Info Input'!$F$10),0)</f>
        <v>0</v>
      </c>
      <c r="T395" s="32">
        <f t="shared" si="24"/>
        <v>0</v>
      </c>
      <c r="U395" s="32">
        <f t="shared" si="25"/>
        <v>0</v>
      </c>
      <c r="V395" s="32">
        <f t="shared" si="26"/>
        <v>0</v>
      </c>
      <c r="W395" s="32">
        <f t="shared" si="27"/>
        <v>0</v>
      </c>
    </row>
    <row r="396" spans="1:23">
      <c r="A396" s="77"/>
      <c r="B396" s="76"/>
      <c r="C396" s="77"/>
      <c r="D396" s="81"/>
      <c r="E396" s="82"/>
      <c r="F396" s="82"/>
      <c r="G396" s="83"/>
      <c r="H396" s="84"/>
      <c r="I396" s="85"/>
      <c r="J396" s="85"/>
      <c r="K396" s="85"/>
      <c r="L396" s="85"/>
      <c r="M396" s="93" t="e">
        <f>#REF!&amp;" "&amp;ContractorPayroll[[#This Row],[Employee ID Number / Code]]</f>
        <v>#REF!</v>
      </c>
      <c r="N396" s="71" t="str">
        <f>_xlfn.IFNA(IF(C396="","",VLOOKUP(ContractorPayroll[[#This Row],[Position / Title]],Lists!I:K,3,FALSE)),"")</f>
        <v/>
      </c>
      <c r="O396" s="42" t="str">
        <f>IF(ContractorPayroll[[#This Row],[Position / Title]]="","",VLOOKUP(ContractorPayroll[[#This Row],[Position / Title]],Lists!I:K,2,FALSE))</f>
        <v/>
      </c>
      <c r="P396" s="22" t="str">
        <f>IF(D396="","",ContractorPayroll[[#This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6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6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6" s="31">
        <f>IFERROR(IF(ContractorPayroll[[#This Row],[Annual Cost of Wage Increase included in Rate Adjustment]]=0,0,R396*'Facility Info Input'!$F$10),0)</f>
        <v>0</v>
      </c>
      <c r="T396" s="32">
        <f t="shared" si="24"/>
        <v>0</v>
      </c>
      <c r="U396" s="32">
        <f t="shared" si="25"/>
        <v>0</v>
      </c>
      <c r="V396" s="32">
        <f t="shared" si="26"/>
        <v>0</v>
      </c>
      <c r="W396" s="32">
        <f t="shared" si="27"/>
        <v>0</v>
      </c>
    </row>
    <row r="397" spans="1:23">
      <c r="A397" s="77"/>
      <c r="B397" s="76"/>
      <c r="C397" s="77"/>
      <c r="D397" s="81"/>
      <c r="E397" s="82"/>
      <c r="F397" s="82"/>
      <c r="G397" s="83"/>
      <c r="H397" s="84"/>
      <c r="I397" s="85"/>
      <c r="J397" s="85"/>
      <c r="K397" s="85"/>
      <c r="L397" s="85"/>
      <c r="M397" s="93" t="e">
        <f>#REF!&amp;" "&amp;ContractorPayroll[[#This Row],[Employee ID Number / Code]]</f>
        <v>#REF!</v>
      </c>
      <c r="N397" s="71" t="str">
        <f>_xlfn.IFNA(IF(C397="","",VLOOKUP(ContractorPayroll[[#This Row],[Position / Title]],Lists!I:K,3,FALSE)),"")</f>
        <v/>
      </c>
      <c r="O397" s="42" t="str">
        <f>IF(ContractorPayroll[[#This Row],[Position / Title]]="","",VLOOKUP(ContractorPayroll[[#This Row],[Position / Title]],Lists!I:K,2,FALSE))</f>
        <v/>
      </c>
      <c r="P397" s="22" t="str">
        <f>IF(D397="","",ContractorPayroll[[#This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7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7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7" s="31">
        <f>IFERROR(IF(ContractorPayroll[[#This Row],[Annual Cost of Wage Increase included in Rate Adjustment]]=0,0,R397*'Facility Info Input'!$F$10),0)</f>
        <v>0</v>
      </c>
      <c r="T397" s="32">
        <f t="shared" si="24"/>
        <v>0</v>
      </c>
      <c r="U397" s="32">
        <f t="shared" si="25"/>
        <v>0</v>
      </c>
      <c r="V397" s="32">
        <f t="shared" si="26"/>
        <v>0</v>
      </c>
      <c r="W397" s="32">
        <f t="shared" si="27"/>
        <v>0</v>
      </c>
    </row>
    <row r="398" spans="1:23">
      <c r="A398" s="77"/>
      <c r="B398" s="76"/>
      <c r="C398" s="77"/>
      <c r="D398" s="81"/>
      <c r="E398" s="82"/>
      <c r="F398" s="82"/>
      <c r="G398" s="83"/>
      <c r="H398" s="84"/>
      <c r="I398" s="85"/>
      <c r="J398" s="85"/>
      <c r="K398" s="85"/>
      <c r="L398" s="85"/>
      <c r="M398" s="93" t="e">
        <f>#REF!&amp;" "&amp;ContractorPayroll[[#This Row],[Employee ID Number / Code]]</f>
        <v>#REF!</v>
      </c>
      <c r="N398" s="71" t="str">
        <f>_xlfn.IFNA(IF(C398="","",VLOOKUP(ContractorPayroll[[#This Row],[Position / Title]],Lists!I:K,3,FALSE)),"")</f>
        <v/>
      </c>
      <c r="O398" s="42" t="str">
        <f>IF(ContractorPayroll[[#This Row],[Position / Title]]="","",VLOOKUP(ContractorPayroll[[#This Row],[Position / Title]],Lists!I:K,2,FALSE))</f>
        <v/>
      </c>
      <c r="P398" s="22" t="str">
        <f>IF(D398="","",ContractorPayroll[[#This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8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8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8" s="31">
        <f>IFERROR(IF(ContractorPayroll[[#This Row],[Annual Cost of Wage Increase included in Rate Adjustment]]=0,0,R398*'Facility Info Input'!$F$10),0)</f>
        <v>0</v>
      </c>
      <c r="T398" s="32">
        <f t="shared" si="24"/>
        <v>0</v>
      </c>
      <c r="U398" s="32">
        <f t="shared" si="25"/>
        <v>0</v>
      </c>
      <c r="V398" s="32">
        <f t="shared" si="26"/>
        <v>0</v>
      </c>
      <c r="W398" s="32">
        <f t="shared" si="27"/>
        <v>0</v>
      </c>
    </row>
    <row r="399" spans="1:23">
      <c r="A399" s="77"/>
      <c r="B399" s="76"/>
      <c r="C399" s="77"/>
      <c r="D399" s="81"/>
      <c r="E399" s="82"/>
      <c r="F399" s="82"/>
      <c r="G399" s="83"/>
      <c r="H399" s="84"/>
      <c r="I399" s="85"/>
      <c r="J399" s="85"/>
      <c r="K399" s="85"/>
      <c r="L399" s="85"/>
      <c r="M399" s="93" t="e">
        <f>#REF!&amp;" "&amp;ContractorPayroll[[#This Row],[Employee ID Number / Code]]</f>
        <v>#REF!</v>
      </c>
      <c r="N399" s="71" t="str">
        <f>_xlfn.IFNA(IF(C399="","",VLOOKUP(ContractorPayroll[[#This Row],[Position / Title]],Lists!I:K,3,FALSE)),"")</f>
        <v/>
      </c>
      <c r="O399" s="42" t="str">
        <f>IF(ContractorPayroll[[#This Row],[Position / Title]]="","",VLOOKUP(ContractorPayroll[[#This Row],[Position / Title]],Lists!I:K,2,FALSE))</f>
        <v/>
      </c>
      <c r="P399" s="22" t="str">
        <f>IF(D399="","",ContractorPayroll[[#This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399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399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399" s="31">
        <f>IFERROR(IF(ContractorPayroll[[#This Row],[Annual Cost of Wage Increase included in Rate Adjustment]]=0,0,R399*'Facility Info Input'!$F$10),0)</f>
        <v>0</v>
      </c>
      <c r="T399" s="32">
        <f t="shared" si="24"/>
        <v>0</v>
      </c>
      <c r="U399" s="32">
        <f t="shared" si="25"/>
        <v>0</v>
      </c>
      <c r="V399" s="32">
        <f t="shared" si="26"/>
        <v>0</v>
      </c>
      <c r="W399" s="32">
        <f t="shared" si="27"/>
        <v>0</v>
      </c>
    </row>
    <row r="400" spans="1:23">
      <c r="A400" s="77"/>
      <c r="B400" s="76"/>
      <c r="C400" s="77"/>
      <c r="D400" s="81"/>
      <c r="E400" s="82"/>
      <c r="F400" s="82"/>
      <c r="G400" s="83"/>
      <c r="H400" s="84"/>
      <c r="I400" s="85"/>
      <c r="J400" s="85"/>
      <c r="K400" s="85"/>
      <c r="L400" s="85"/>
      <c r="M400" s="93" t="e">
        <f>#REF!&amp;" "&amp;ContractorPayroll[[#This Row],[Employee ID Number / Code]]</f>
        <v>#REF!</v>
      </c>
      <c r="N400" s="71" t="str">
        <f>_xlfn.IFNA(IF(C400="","",VLOOKUP(ContractorPayroll[[#This Row],[Position / Title]],Lists!I:K,3,FALSE)),"")</f>
        <v/>
      </c>
      <c r="O400" s="42" t="str">
        <f>IF(ContractorPayroll[[#This Row],[Position / Title]]="","",VLOOKUP(ContractorPayroll[[#This Row],[Position / Title]],Lists!I:K,2,FALSE))</f>
        <v/>
      </c>
      <c r="P400" s="22" t="str">
        <f>IF(D400="","",ContractorPayroll[[#This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Row],[Hourly Rate of Pay before WSB Minimum]]*ContractorPayroll[[#This Row],[Percentage Allocated to Nursing Facility?            (%)]])</f>
        <v/>
      </c>
      <c r="Q400" s="22" t="str">
        <f>IF(ContractorPayroll[[#This Row],[Total Compensated Hours during period submitted?]]="","",ContractorPayroll[[#This Row],[Total Compensated Hours during period submitted?]]/(ContractorPayroll[[#This Row],[Payroll Period Ends Date (Minimum two months)]]-ContractorPayroll[[#This Row],[Payroll Period Begins Date        (Must start after 6/1/2025)]]+1)*365*ContractorPayroll[[#This Row],[Percentage Allocated to Nursing Facility?            (%)]]*ContractorPayroll[[#This Row],[Hourly WSB  Wage Minimum]])</f>
        <v/>
      </c>
      <c r="R400" s="22">
        <f>IF(ContractorPayroll[[#This Row],[Total Compensated Hours during period submitted?]]="",0,ContractorPayroll[[#This Row],[Annual NF Wage Costs after WSB Minimum]]-ContractorPayroll[[#This Row],[Annual NF Wage Costs before WSB Minimum]])</f>
        <v>0</v>
      </c>
      <c r="S400" s="31">
        <f>IFERROR(IF(ContractorPayroll[[#This Row],[Annual Cost of Wage Increase included in Rate Adjustment]]=0,0,R400*'Facility Info Input'!$F$10),0)</f>
        <v>0</v>
      </c>
      <c r="T400" s="32">
        <f t="shared" si="24"/>
        <v>0</v>
      </c>
      <c r="U400" s="32">
        <f t="shared" si="25"/>
        <v>0</v>
      </c>
      <c r="V400" s="32">
        <f t="shared" si="26"/>
        <v>0</v>
      </c>
      <c r="W400" s="32">
        <f t="shared" si="27"/>
        <v>0</v>
      </c>
    </row>
    <row r="401" spans="1:23" s="15" customFormat="1" ht="15" thickBot="1">
      <c r="A401" s="47"/>
      <c r="B401" s="53" t="s">
        <v>54</v>
      </c>
      <c r="C401" s="47"/>
      <c r="D401" s="48"/>
      <c r="E401" s="47"/>
      <c r="F401" s="47"/>
      <c r="G401" s="49">
        <f>SUBTOTAL(109,ContractorPayroll[Total Compensated Hours during period submitted?])</f>
        <v>0</v>
      </c>
      <c r="H401" s="50"/>
      <c r="I401" s="52"/>
      <c r="J401" s="51"/>
      <c r="K401" s="51"/>
      <c r="L401" s="52"/>
      <c r="M401" s="72"/>
      <c r="N401" s="72"/>
      <c r="O401" s="16"/>
      <c r="P401" s="18">
        <f>SUBTOTAL(109,ContractorPayroll[Annual NF Wage Costs before WSB Minimum])</f>
        <v>0</v>
      </c>
      <c r="Q401" s="18">
        <f>SUBTOTAL(109,ContractorPayroll[Annual NF Wage Costs after WSB Minimum])</f>
        <v>0</v>
      </c>
      <c r="R401" s="18">
        <f>SUBTOTAL(109,ContractorPayroll[Annual Cost of Wage Increase included in Rate Adjustment])</f>
        <v>0</v>
      </c>
      <c r="S401" s="18">
        <f>SUBTOTAL(109,ContractorPayroll[Employer FICA and Medicare Tax])</f>
        <v>0</v>
      </c>
      <c r="T401" s="18">
        <f>SUBTOTAL(109,ContractorPayroll[Employer                                       FUTA / SUTA])</f>
        <v>0</v>
      </c>
      <c r="U401" s="18">
        <f>SUBTOTAL(109,ContractorPayroll[Employer Worker''s Compensation Insurance])</f>
        <v>0</v>
      </c>
      <c r="V401" s="18">
        <f>SUBTOTAL(109,ContractorPayroll[Employer Pension or Retirement Contribution])</f>
        <v>0</v>
      </c>
      <c r="W401" s="17">
        <f>SUBTOTAL(109,ContractorPayroll[Total Annual Cost of Wage Increase included in Rate Adjustment])</f>
        <v>0</v>
      </c>
    </row>
  </sheetData>
  <sheetProtection algorithmName="SHA-512" hashValue="FPlgOy4zNU3dqKahzK53vnA53UuLCDQGddPExZTNN1nkNhfodYHGKdZnYAkGDn1VL+XmYxZTHwjrd97mEe20Uw==" saltValue="Qg9uJUYcTRHE+YQI5xNHUw==" spinCount="100000" sheet="1" objects="1" scenarios="1"/>
  <conditionalFormatting sqref="E2:E400">
    <cfRule type="expression" dxfId="52" priority="2">
      <formula>AND(NOT(ISBLANK(E2)), E2&lt;45810)</formula>
    </cfRule>
  </conditionalFormatting>
  <conditionalFormatting sqref="I2:I400">
    <cfRule type="expression" dxfId="51" priority="1">
      <formula>$H2="No"</formula>
    </cfRule>
  </conditionalFormatting>
  <dataValidations count="7">
    <dataValidation type="date" operator="greaterThan" allowBlank="1" showInputMessage="1" showErrorMessage="1" errorTitle="Start Date Error" error="Payroll Period Begins Date must start on or after 6/2/2025." sqref="E2:E400" xr:uid="{AAAA9E1C-195A-432A-A6A6-D3E282F02C21}">
      <formula1>45809</formula1>
    </dataValidation>
    <dataValidation type="date" allowBlank="1" showInputMessage="1" showErrorMessage="1" errorTitle="End Date Error" error="Payroll Period Ends Date must be atleast two months after Payroll Period Begins Date.  The earliest allowed date is 8/1/2025 and the latest allowed date is 10/1/2025." sqref="F2:F400" xr:uid="{C011BF41-EA9D-4514-A0D0-307B30EE6275}">
      <formula1>45870</formula1>
      <formula2>45931</formula2>
    </dataValidation>
    <dataValidation type="decimal" allowBlank="1" showInputMessage="1" showErrorMessage="1" errorTitle="Hours Error" error="The minimum allowed amount is 0.10 hours; the maximum allowed amount is 1,920 hours. " sqref="G2:G400" xr:uid="{87EDA76C-2402-4284-B87E-1B2FC856A44A}">
      <formula1>0.1</formula1>
      <formula2>1920</formula2>
    </dataValidation>
    <dataValidation type="decimal" allowBlank="1" showInputMessage="1" showErrorMessage="1" errorTitle="Retirement % Error" error="The minimum allowed amount is 0 percent; the maximum allowed amount is 10 percent." sqref="I2:I400" xr:uid="{081CFA33-029A-4EA2-8763-92E12FF7A63C}">
      <formula1>0</formula1>
      <formula2>0.1</formula2>
    </dataValidation>
    <dataValidation type="decimal" allowBlank="1" showInputMessage="1" showErrorMessage="1" errorTitle="NF % Error" error="The minimum allowed amount is 0%.  The maximum allowed amount is 100%." sqref="L2:L400" xr:uid="{FF179A3B-A157-4943-AE2A-B8682224979F}">
      <formula1>0</formula1>
      <formula2>1</formula2>
    </dataValidation>
    <dataValidation type="decimal" allowBlank="1" showInputMessage="1" showErrorMessage="1" errorTitle="Fringe Error" error="The minimum allowed amount is 0%.  The maximum allowed amount is 10%." sqref="J2:K400" xr:uid="{2235822E-DB85-4204-8D49-7273B162CA8E}">
      <formula1>0</formula1>
      <formula2>0.1</formula2>
    </dataValidation>
    <dataValidation type="decimal" allowBlank="1" showInputMessage="1" showErrorMessage="1" errorTitle="Hourly Error" error="The minimum allowed amount is $9.08 hourly; the maximum allowed amount is $26.99 hourly." sqref="D2:D400" xr:uid="{C22FA899-4F5B-4AA4-BAB2-9E1A4C295029}">
      <formula1>9.08</formula1>
      <formula2>26.99</formula2>
    </dataValidation>
  </dataValidations>
  <printOptions horizontalCentered="1"/>
  <pageMargins left="0.7" right="0.7" top="0.75" bottom="0.75" header="0.3" footer="0.3"/>
  <pageSetup paperSize="4" scale="54" orientation="portrait" horizontalDpi="1200" verticalDpi="1200" r:id="rId1"/>
  <headerFooter>
    <oddHeader>&amp;C&amp;F</oddHeader>
    <oddFooter>&amp;L&amp;A&amp;C&amp;BState of MN Confidential&amp;B&amp;RPage &amp;P</oddFooter>
  </headerFooter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Please choose Yes or No from the drop-down menu." xr:uid="{07EA8824-9173-47A4-AFCB-BA93BBC684C2}">
          <x14:formula1>
            <xm:f>Lists!$G$2:$G$4</xm:f>
          </x14:formula1>
          <xm:sqref>H2:H400</xm:sqref>
        </x14:dataValidation>
        <x14:dataValidation type="list" allowBlank="1" showInputMessage="1" showErrorMessage="1" error="Please choose from the drop down menu." xr:uid="{6F5CFA61-3731-4354-AC70-B23C37637DB4}">
          <x14:formula1>
            <xm:f>Lists!$I$2:$I$35</xm:f>
          </x14:formula1>
          <xm:sqref>C2:C400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4333F-C174-4D07-9A7D-286EC6D2FA9E}">
  <dimension ref="A1:Z35"/>
  <sheetViews>
    <sheetView zoomScaleNormal="100" workbookViewId="0">
      <selection activeCell="E19" sqref="E19"/>
    </sheetView>
  </sheetViews>
  <sheetFormatPr defaultRowHeight="14.45"/>
  <cols>
    <col min="1" max="1" width="26.28515625" customWidth="1"/>
    <col min="2" max="2" width="11.28515625" style="7" customWidth="1"/>
    <col min="3" max="3" width="23" style="1" customWidth="1"/>
    <col min="4" max="4" width="2.42578125" style="1" customWidth="1"/>
    <col min="5" max="5" width="25.7109375" customWidth="1"/>
    <col min="6" max="6" width="2.28515625" customWidth="1"/>
    <col min="8" max="8" width="2.28515625" customWidth="1"/>
    <col min="9" max="9" width="23.28515625" customWidth="1"/>
    <col min="10" max="10" width="12.28515625" customWidth="1"/>
    <col min="11" max="11" width="23.7109375" customWidth="1"/>
    <col min="12" max="12" width="2.5703125" customWidth="1"/>
    <col min="13" max="13" width="21.7109375" bestFit="1" customWidth="1"/>
    <col min="14" max="14" width="16" customWidth="1"/>
    <col min="15" max="15" width="15" customWidth="1"/>
    <col min="16" max="16" width="29.42578125" customWidth="1"/>
    <col min="17" max="17" width="2.7109375" customWidth="1"/>
    <col min="18" max="18" width="16.7109375" customWidth="1"/>
    <col min="19" max="19" width="45.5703125" customWidth="1"/>
    <col min="20" max="20" width="6.7109375" bestFit="1" customWidth="1"/>
    <col min="21" max="21" width="7.5703125" bestFit="1" customWidth="1"/>
    <col min="22" max="22" width="12.7109375" style="1" bestFit="1" customWidth="1"/>
    <col min="23" max="23" width="11.7109375" style="1" bestFit="1" customWidth="1"/>
    <col min="24" max="26" width="10.42578125" style="1" bestFit="1" customWidth="1"/>
    <col min="27" max="27" width="13.28515625" bestFit="1" customWidth="1"/>
    <col min="28" max="28" width="55.7109375" bestFit="1" customWidth="1"/>
  </cols>
  <sheetData>
    <row r="1" spans="1:21">
      <c r="A1" s="6" t="s">
        <v>55</v>
      </c>
      <c r="E1" s="6" t="s">
        <v>16</v>
      </c>
      <c r="F1" s="1"/>
      <c r="G1" s="6" t="s">
        <v>56</v>
      </c>
      <c r="H1" s="1"/>
      <c r="I1" s="6" t="s">
        <v>57</v>
      </c>
      <c r="J1" s="1"/>
      <c r="K1" s="1"/>
      <c r="L1" s="1"/>
      <c r="M1" s="43" t="s">
        <v>58</v>
      </c>
      <c r="N1" s="43" t="s">
        <v>59</v>
      </c>
      <c r="O1" s="6"/>
      <c r="P1" s="1"/>
      <c r="Q1" s="1"/>
      <c r="R1" s="43" t="s">
        <v>60</v>
      </c>
      <c r="S1" s="43"/>
      <c r="T1" s="1"/>
      <c r="U1" s="1"/>
    </row>
    <row r="2" spans="1:21">
      <c r="A2" s="1"/>
      <c r="E2" s="1"/>
      <c r="F2" s="1"/>
      <c r="G2" s="1"/>
      <c r="H2" s="1"/>
      <c r="I2" s="1"/>
      <c r="J2" s="7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>
      <c r="A3" s="1" t="s">
        <v>61</v>
      </c>
      <c r="B3" s="7">
        <v>27</v>
      </c>
      <c r="C3" s="1" t="s">
        <v>18</v>
      </c>
      <c r="E3" s="1" t="s">
        <v>62</v>
      </c>
      <c r="F3" s="1"/>
      <c r="G3" s="1" t="s">
        <v>63</v>
      </c>
      <c r="H3" s="1"/>
      <c r="I3" s="1" t="s">
        <v>61</v>
      </c>
      <c r="J3" s="7">
        <v>27</v>
      </c>
      <c r="K3" s="1" t="s">
        <v>18</v>
      </c>
      <c r="L3" s="1"/>
      <c r="M3" s="1"/>
      <c r="N3" s="1" t="s">
        <v>64</v>
      </c>
      <c r="O3" s="1" t="s">
        <v>65</v>
      </c>
      <c r="P3" s="1"/>
      <c r="Q3" s="1"/>
      <c r="R3" s="1" t="s">
        <v>66</v>
      </c>
      <c r="S3" s="1" t="s">
        <v>67</v>
      </c>
      <c r="T3" s="1"/>
      <c r="U3" s="1"/>
    </row>
    <row r="4" spans="1:21">
      <c r="A4" s="1" t="s">
        <v>68</v>
      </c>
      <c r="B4" s="7">
        <v>22.5</v>
      </c>
      <c r="C4" s="1" t="s">
        <v>18</v>
      </c>
      <c r="E4" s="1" t="s">
        <v>69</v>
      </c>
      <c r="F4" s="1"/>
      <c r="G4" s="1" t="s">
        <v>70</v>
      </c>
      <c r="H4" s="1"/>
      <c r="I4" s="1" t="s">
        <v>68</v>
      </c>
      <c r="J4" s="7">
        <v>22.5</v>
      </c>
      <c r="K4" s="1" t="s">
        <v>18</v>
      </c>
      <c r="L4" s="1"/>
      <c r="M4" s="1" t="s">
        <v>71</v>
      </c>
      <c r="N4" s="1" t="e">
        <f>'Facility Info Input'!#REF!</f>
        <v>#REF!</v>
      </c>
      <c r="O4" s="1" t="e" cm="1">
        <f t="array" ref="O4">(SUM(IF(FREQUENCY(IF(LEN(StaffPayroll[Combined Name])&gt;0,MATCH(StaffPayroll[Combined Name],StaffPayroll[Combined Name],0),""),IF(LEN(StaffPayroll[Combined Name])&gt;0,MATCH(StaffPayroll[Combined Name],StaffPayroll[Combined Name],0),""))&gt;0,1)))-1</f>
        <v>#REF!</v>
      </c>
      <c r="P4" s="24" t="e">
        <f>IF(O4&gt;N4,0,1)</f>
        <v>#REF!</v>
      </c>
      <c r="Q4" s="1"/>
      <c r="R4" s="1" t="s">
        <v>72</v>
      </c>
      <c r="S4" s="1" t="s">
        <v>73</v>
      </c>
      <c r="T4" s="1"/>
      <c r="U4" s="1"/>
    </row>
    <row r="5" spans="1:21">
      <c r="A5" s="1" t="s">
        <v>74</v>
      </c>
      <c r="B5" s="7">
        <v>23.5</v>
      </c>
      <c r="C5" s="1" t="s">
        <v>18</v>
      </c>
      <c r="E5" s="1" t="s">
        <v>75</v>
      </c>
      <c r="F5" s="1"/>
      <c r="G5" s="1"/>
      <c r="H5" s="1"/>
      <c r="I5" s="1" t="s">
        <v>74</v>
      </c>
      <c r="J5" s="7">
        <v>23.5</v>
      </c>
      <c r="K5" s="1" t="s">
        <v>18</v>
      </c>
      <c r="L5" s="1"/>
      <c r="M5" s="1"/>
      <c r="N5" s="1"/>
      <c r="O5" s="1"/>
      <c r="P5" s="44"/>
      <c r="Q5" s="1"/>
      <c r="R5" s="1" t="s">
        <v>76</v>
      </c>
      <c r="S5" s="1" t="s">
        <v>77</v>
      </c>
      <c r="T5" s="1"/>
      <c r="U5" s="1"/>
    </row>
    <row r="6" spans="1:21">
      <c r="A6" s="1" t="s">
        <v>78</v>
      </c>
      <c r="B6" s="7">
        <v>19</v>
      </c>
      <c r="C6" s="1" t="s">
        <v>19</v>
      </c>
      <c r="E6" s="1" t="s">
        <v>79</v>
      </c>
      <c r="F6" s="1"/>
      <c r="G6" s="1"/>
      <c r="H6" s="1"/>
      <c r="I6" s="1" t="s">
        <v>78</v>
      </c>
      <c r="J6" s="7">
        <v>19</v>
      </c>
      <c r="K6" s="1" t="s">
        <v>19</v>
      </c>
      <c r="L6" s="1"/>
      <c r="M6" s="1" t="s">
        <v>80</v>
      </c>
      <c r="N6" s="1" t="s">
        <v>64</v>
      </c>
      <c r="O6" s="1" t="s">
        <v>65</v>
      </c>
      <c r="P6" s="1"/>
      <c r="Q6" s="1"/>
      <c r="R6" s="1" t="s">
        <v>81</v>
      </c>
      <c r="S6" s="1" t="s">
        <v>82</v>
      </c>
      <c r="T6" s="1"/>
      <c r="U6" s="1"/>
    </row>
    <row r="7" spans="1:21">
      <c r="A7" s="1" t="s">
        <v>83</v>
      </c>
      <c r="B7" s="7">
        <v>19</v>
      </c>
      <c r="C7" s="1" t="s">
        <v>19</v>
      </c>
      <c r="E7" s="1" t="s">
        <v>84</v>
      </c>
      <c r="F7" s="1"/>
      <c r="G7" s="1"/>
      <c r="H7" s="1"/>
      <c r="I7" s="1" t="s">
        <v>85</v>
      </c>
      <c r="J7" s="7">
        <v>19</v>
      </c>
      <c r="K7" s="1" t="s">
        <v>20</v>
      </c>
      <c r="L7" s="1"/>
      <c r="M7" s="45" t="s">
        <v>86</v>
      </c>
      <c r="N7" s="35" t="e">
        <f>'Facility Info Input'!#REF!</f>
        <v>#REF!</v>
      </c>
      <c r="O7" s="1">
        <f>SUMIF(StaffPayroll[CR Rate Category],"Nursing",StaffPayroll[Total Compensated Hours during period submitted?])+SUMIF(StaffPayroll[CR Rate Category],"Medical Records",StaffPayroll[Total Compensated Hours during period submitted?])+SUMIF(StaffPayroll[CR Rate Category],"Mental Health",StaffPayroll[Total Compensated Hours during period submitted?])+SUMIF(StaffPayroll[CR Rate Category],"Social Services",StaffPayroll[Total Compensated Hours during period submitted?])+SUMIF(StaffPayroll[CR Rate Category],"Activities",StaffPayroll[Total Compensated Hours during period submitted?])+SUMIF(StaffPayroll[CR Rate Category],"Other Care Related",StaffPayroll[Total Compensated Hours during period submitted?])+SUMIF(StaffPayroll[CR Rate Category],"Therapy",StaffPayroll[Total Compensated Hours during period submitted?])</f>
        <v>0</v>
      </c>
      <c r="P7" s="24" t="e">
        <f>IF(P12&gt;N7,0,1)</f>
        <v>#REF!</v>
      </c>
      <c r="Q7" s="1"/>
      <c r="R7" s="1" t="s">
        <v>87</v>
      </c>
      <c r="S7" s="1" t="s">
        <v>88</v>
      </c>
      <c r="T7" s="1"/>
      <c r="U7" s="1"/>
    </row>
    <row r="8" spans="1:21">
      <c r="A8" s="1" t="s">
        <v>89</v>
      </c>
      <c r="B8" s="7">
        <v>19</v>
      </c>
      <c r="C8" s="1" t="s">
        <v>19</v>
      </c>
      <c r="E8" s="1" t="s">
        <v>90</v>
      </c>
      <c r="F8" s="1"/>
      <c r="G8" s="1"/>
      <c r="H8" s="1"/>
      <c r="I8" s="1" t="s">
        <v>91</v>
      </c>
      <c r="J8" s="7">
        <v>19</v>
      </c>
      <c r="K8" s="1" t="s">
        <v>21</v>
      </c>
      <c r="L8" s="1"/>
      <c r="M8" s="45" t="s">
        <v>92</v>
      </c>
      <c r="N8" s="57" t="e">
        <f>'Facility Info Input'!#REF!</f>
        <v>#REF!</v>
      </c>
      <c r="O8" s="58">
        <f>SUMIF(StaffPayroll[CR Rate Category],"Dietary",StaffPayroll[Total Compensated Hours during period submitted?])+SUMIF(StaffPayroll[CR Rate Category],"Laundry",StaffPayroll[Total Compensated Hours during period submitted?])+SUMIF(StaffPayroll[CR Rate Category],"Housekeeping",StaffPayroll[Total Compensated Hours during period submitted?])+SUMIF(StaffPayroll[CR Rate Category],"Maintenance",StaffPayroll[Total Compensated Hours during period submitted?])</f>
        <v>0</v>
      </c>
      <c r="P8" s="24" t="e">
        <f>IF(P13&gt;N8,0,1)</f>
        <v>#REF!</v>
      </c>
      <c r="Q8" s="1"/>
      <c r="R8" s="1" t="s">
        <v>93</v>
      </c>
      <c r="S8" s="1" t="s">
        <v>94</v>
      </c>
      <c r="T8" s="1"/>
      <c r="U8" s="1"/>
    </row>
    <row r="9" spans="1:21">
      <c r="A9" s="1" t="s">
        <v>95</v>
      </c>
      <c r="B9" s="7">
        <v>19</v>
      </c>
      <c r="C9" s="1" t="s">
        <v>19</v>
      </c>
      <c r="E9" s="1" t="s">
        <v>96</v>
      </c>
      <c r="F9" s="1"/>
      <c r="G9" s="1"/>
      <c r="H9" s="1"/>
      <c r="I9" s="1" t="s">
        <v>97</v>
      </c>
      <c r="J9" s="7">
        <v>19</v>
      </c>
      <c r="K9" s="1" t="s">
        <v>22</v>
      </c>
      <c r="L9" s="1"/>
      <c r="M9" s="45" t="s">
        <v>54</v>
      </c>
      <c r="N9" s="35" t="e">
        <f>'Facility Info Input'!#REF!</f>
        <v>#REF!</v>
      </c>
      <c r="O9" s="1">
        <f>SUM(O7:O8)</f>
        <v>0</v>
      </c>
      <c r="P9" s="24" t="e">
        <f>IF(P14&gt;N9,0,1)</f>
        <v>#REF!</v>
      </c>
      <c r="Q9" s="1"/>
      <c r="R9" s="1" t="s">
        <v>98</v>
      </c>
      <c r="S9" s="1" t="s">
        <v>99</v>
      </c>
      <c r="T9" s="1"/>
      <c r="U9" s="1"/>
    </row>
    <row r="10" spans="1:21">
      <c r="A10" s="1" t="s">
        <v>85</v>
      </c>
      <c r="B10" s="7">
        <v>19</v>
      </c>
      <c r="C10" s="1" t="s">
        <v>20</v>
      </c>
      <c r="E10" s="1" t="s">
        <v>100</v>
      </c>
      <c r="F10" s="1"/>
      <c r="G10" s="1"/>
      <c r="H10" s="1"/>
      <c r="I10" s="1" t="s">
        <v>101</v>
      </c>
      <c r="J10" s="7">
        <v>19</v>
      </c>
      <c r="K10" s="1" t="s">
        <v>23</v>
      </c>
      <c r="L10" s="1"/>
      <c r="M10" s="1"/>
      <c r="N10" s="1"/>
      <c r="O10" s="1"/>
      <c r="P10" s="1"/>
      <c r="Q10" s="1"/>
      <c r="R10" s="1" t="s">
        <v>102</v>
      </c>
      <c r="S10" s="1" t="s">
        <v>103</v>
      </c>
      <c r="T10" s="1"/>
      <c r="U10" s="1"/>
    </row>
    <row r="11" spans="1:21">
      <c r="A11" s="1" t="s">
        <v>91</v>
      </c>
      <c r="B11" s="7">
        <v>19</v>
      </c>
      <c r="C11" s="1" t="s">
        <v>21</v>
      </c>
      <c r="E11" s="1" t="s">
        <v>104</v>
      </c>
      <c r="F11" s="1"/>
      <c r="G11" s="1"/>
      <c r="H11" s="1"/>
      <c r="I11" s="1" t="s">
        <v>105</v>
      </c>
      <c r="J11" s="7">
        <v>19</v>
      </c>
      <c r="K11" s="1" t="s">
        <v>23</v>
      </c>
      <c r="L11" s="1"/>
      <c r="M11" s="21" t="s">
        <v>106</v>
      </c>
      <c r="N11" s="21" t="s">
        <v>107</v>
      </c>
      <c r="O11" s="21" t="s">
        <v>108</v>
      </c>
      <c r="P11" s="21" t="s">
        <v>109</v>
      </c>
      <c r="Q11" s="1"/>
      <c r="R11" s="1" t="s">
        <v>110</v>
      </c>
      <c r="S11" s="1" t="s">
        <v>111</v>
      </c>
      <c r="T11" s="1"/>
      <c r="U11" s="1"/>
    </row>
    <row r="12" spans="1:21">
      <c r="A12" s="1" t="s">
        <v>112</v>
      </c>
      <c r="B12" s="7">
        <v>19</v>
      </c>
      <c r="C12" s="1" t="s">
        <v>21</v>
      </c>
      <c r="E12" s="1"/>
      <c r="F12" s="1"/>
      <c r="G12" s="1"/>
      <c r="H12" s="1"/>
      <c r="I12" s="1" t="s">
        <v>113</v>
      </c>
      <c r="J12" s="7">
        <v>19</v>
      </c>
      <c r="K12" s="1" t="s">
        <v>23</v>
      </c>
      <c r="L12" s="1"/>
      <c r="M12" s="45" t="s">
        <v>86</v>
      </c>
      <c r="N12" s="1">
        <f>SUMIF(StaffPayroll[CR Rate Category],"Nursing",StaffPayroll[Period Days])+SUMIF(StaffPayroll[CR Rate Category],"Medical Records",StaffPayroll[Period Days])+SUMIF(StaffPayroll[CR Rate Category],"Mental Health",StaffPayroll[Period Days])+SUMIF(StaffPayroll[CR Rate Category],"Social Services",StaffPayroll[Period Days])+SUMIF(StaffPayroll[CR Rate Category],"Activities",StaffPayroll[Period Days])+SUMIF(StaffPayroll[CR Rate Category],"Other Care Related",StaffPayroll[Period Days])+SUMIF(StaffPayroll[CR Rate Category],"Therapy",StaffPayroll[Period Days])</f>
        <v>0</v>
      </c>
      <c r="O12" s="66">
        <f>IFERROR(N12/O23,0)</f>
        <v>0</v>
      </c>
      <c r="P12" s="68">
        <f>IFERROR(O7/O12*365,0)</f>
        <v>0</v>
      </c>
      <c r="Q12" s="1"/>
      <c r="R12" s="1" t="s">
        <v>114</v>
      </c>
      <c r="S12" s="1"/>
      <c r="T12" s="1"/>
      <c r="U12" s="1"/>
    </row>
    <row r="13" spans="1:21">
      <c r="A13" s="1" t="s">
        <v>115</v>
      </c>
      <c r="B13" s="7">
        <v>19</v>
      </c>
      <c r="C13" s="1" t="s">
        <v>22</v>
      </c>
      <c r="E13" s="1"/>
      <c r="F13" s="1"/>
      <c r="G13" s="1"/>
      <c r="H13" s="1"/>
      <c r="I13" s="1" t="s">
        <v>116</v>
      </c>
      <c r="J13" s="7">
        <v>19</v>
      </c>
      <c r="K13" s="1" t="s">
        <v>24</v>
      </c>
      <c r="L13" s="1"/>
      <c r="M13" s="45" t="s">
        <v>92</v>
      </c>
      <c r="N13" s="6">
        <f>SUMIF(StaffPayroll[CR Rate Category],"Dietary",StaffPayroll[Period Days])+SUMIF(StaffPayroll[CR Rate Category],"Laundry",StaffPayroll[Period Days])+SUMIF(StaffPayroll[CR Rate Category],"Housekeeping",StaffPayroll[Period Days])+SUMIF(StaffPayroll[CR Rate Category],"Maintenance",StaffPayroll[Period Days])</f>
        <v>0</v>
      </c>
      <c r="O13" s="67">
        <f>IFERROR(N13/O27,0)</f>
        <v>0</v>
      </c>
      <c r="P13" s="69">
        <f>IFERROR(O8/O13*365,0)</f>
        <v>0</v>
      </c>
      <c r="Q13" s="1"/>
      <c r="R13" s="1"/>
      <c r="S13" s="1"/>
      <c r="T13" s="1"/>
      <c r="U13" s="1"/>
    </row>
    <row r="14" spans="1:21">
      <c r="A14" s="1" t="s">
        <v>117</v>
      </c>
      <c r="B14" s="7">
        <v>19</v>
      </c>
      <c r="C14" s="1" t="s">
        <v>22</v>
      </c>
      <c r="E14" s="1"/>
      <c r="F14" s="1"/>
      <c r="G14" s="1"/>
      <c r="H14" s="1"/>
      <c r="I14" s="1" t="s">
        <v>118</v>
      </c>
      <c r="J14" s="7">
        <v>19</v>
      </c>
      <c r="K14" s="1" t="s">
        <v>24</v>
      </c>
      <c r="L14" s="1"/>
      <c r="M14" s="45" t="s">
        <v>54</v>
      </c>
      <c r="N14" s="1">
        <f>SUM(N12:N13)</f>
        <v>0</v>
      </c>
      <c r="O14" s="1"/>
      <c r="P14" s="68">
        <f>SUM(P12:P13)</f>
        <v>0</v>
      </c>
      <c r="Q14" s="1"/>
      <c r="R14" s="1"/>
      <c r="S14" s="1"/>
      <c r="T14" s="1"/>
      <c r="U14" s="1"/>
    </row>
    <row r="15" spans="1:21">
      <c r="A15" s="1" t="s">
        <v>119</v>
      </c>
      <c r="B15" s="7">
        <v>19</v>
      </c>
      <c r="C15" s="1" t="s">
        <v>23</v>
      </c>
      <c r="E15" s="1"/>
      <c r="F15" s="1"/>
      <c r="G15" s="1"/>
      <c r="H15" s="1"/>
      <c r="I15" s="1" t="s">
        <v>120</v>
      </c>
      <c r="J15" s="7">
        <v>19</v>
      </c>
      <c r="K15" s="1" t="s">
        <v>24</v>
      </c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>
      <c r="A16" s="1" t="s">
        <v>113</v>
      </c>
      <c r="B16" s="7">
        <v>19</v>
      </c>
      <c r="C16" s="1" t="s">
        <v>23</v>
      </c>
      <c r="E16" s="1"/>
      <c r="F16" s="1"/>
      <c r="G16" s="1"/>
      <c r="H16" s="1"/>
      <c r="I16" s="1" t="s">
        <v>121</v>
      </c>
      <c r="J16" s="7">
        <v>19</v>
      </c>
      <c r="K16" s="1" t="s">
        <v>24</v>
      </c>
      <c r="L16" s="1"/>
      <c r="M16" s="1"/>
      <c r="N16" s="1" t="s">
        <v>122</v>
      </c>
      <c r="O16" s="1"/>
      <c r="P16" s="1"/>
      <c r="Q16" s="1"/>
      <c r="R16" s="1"/>
      <c r="S16" s="1"/>
      <c r="T16" s="1"/>
      <c r="U16" s="1"/>
    </row>
    <row r="17" spans="1:19">
      <c r="A17" s="1" t="s">
        <v>116</v>
      </c>
      <c r="B17" s="7">
        <v>19</v>
      </c>
      <c r="C17" s="1" t="s">
        <v>24</v>
      </c>
      <c r="E17" s="1"/>
      <c r="F17" s="1"/>
      <c r="G17" s="1"/>
      <c r="H17" s="1"/>
      <c r="I17" s="1" t="s">
        <v>123</v>
      </c>
      <c r="J17" s="7">
        <v>19</v>
      </c>
      <c r="K17" s="1" t="s">
        <v>25</v>
      </c>
      <c r="L17" s="1"/>
      <c r="M17" s="45" t="s">
        <v>18</v>
      </c>
      <c r="N17" s="1">
        <f>COUNTIFS(StaffPayroll[CR Rate Category],"Nursing",StaffPayroll[Period Days],"&gt;1")</f>
        <v>0</v>
      </c>
      <c r="O17" s="1"/>
      <c r="P17" s="1"/>
      <c r="Q17" s="1"/>
      <c r="R17" s="1"/>
      <c r="S17" s="1"/>
    </row>
    <row r="18" spans="1:19" s="1" customFormat="1">
      <c r="A18" s="1" t="s">
        <v>118</v>
      </c>
      <c r="B18" s="7">
        <v>19</v>
      </c>
      <c r="C18" s="1" t="s">
        <v>24</v>
      </c>
      <c r="I18" s="1" t="s">
        <v>124</v>
      </c>
      <c r="J18" s="7">
        <v>19</v>
      </c>
      <c r="K18" s="1" t="s">
        <v>25</v>
      </c>
      <c r="M18" s="45" t="s">
        <v>19</v>
      </c>
      <c r="N18" s="1">
        <f>COUNTIFS(StaffPayroll[CR Rate Category],"Medical Records",StaffPayroll[Period Days],"&gt;1")</f>
        <v>0</v>
      </c>
    </row>
    <row r="19" spans="1:19">
      <c r="A19" s="1" t="s">
        <v>120</v>
      </c>
      <c r="B19" s="7">
        <v>19</v>
      </c>
      <c r="C19" s="1" t="s">
        <v>24</v>
      </c>
      <c r="E19" s="1"/>
      <c r="F19" s="1"/>
      <c r="G19" s="1"/>
      <c r="H19" s="1"/>
      <c r="I19" s="1" t="s">
        <v>125</v>
      </c>
      <c r="J19" s="7">
        <v>19</v>
      </c>
      <c r="K19" s="1" t="s">
        <v>26</v>
      </c>
      <c r="L19" s="1"/>
      <c r="M19" s="45" t="s">
        <v>20</v>
      </c>
      <c r="N19" s="1">
        <f>COUNTIFS(StaffPayroll[CR Rate Category],"Mental Health",StaffPayroll[Period Days],"&gt;1")</f>
        <v>0</v>
      </c>
      <c r="O19" s="1"/>
      <c r="P19" s="1"/>
      <c r="Q19" s="1"/>
      <c r="R19" s="1"/>
      <c r="S19" s="1"/>
    </row>
    <row r="20" spans="1:19" s="1" customFormat="1">
      <c r="A20" s="1" t="s">
        <v>121</v>
      </c>
      <c r="B20" s="7">
        <v>19</v>
      </c>
      <c r="C20" s="1" t="s">
        <v>24</v>
      </c>
      <c r="I20" s="1" t="s">
        <v>126</v>
      </c>
      <c r="J20" s="7">
        <v>19</v>
      </c>
      <c r="K20" s="1" t="s">
        <v>26</v>
      </c>
      <c r="M20" s="45" t="s">
        <v>21</v>
      </c>
      <c r="N20" s="1">
        <f>COUNTIFS(StaffPayroll[CR Rate Category],"Social Services",StaffPayroll[Period Days],"&gt;1")</f>
        <v>0</v>
      </c>
    </row>
    <row r="21" spans="1:19" s="1" customFormat="1">
      <c r="A21" s="1" t="s">
        <v>123</v>
      </c>
      <c r="B21" s="7">
        <v>19</v>
      </c>
      <c r="C21" s="1" t="s">
        <v>25</v>
      </c>
      <c r="I21" s="1" t="s">
        <v>127</v>
      </c>
      <c r="J21" s="7">
        <v>19</v>
      </c>
      <c r="K21" s="1" t="s">
        <v>27</v>
      </c>
      <c r="M21" s="45" t="s">
        <v>22</v>
      </c>
      <c r="N21" s="1">
        <f>COUNTIFS(StaffPayroll[CR Rate Category],"Activities",StaffPayroll[Period Days],"&gt;1")</f>
        <v>0</v>
      </c>
    </row>
    <row r="22" spans="1:19" s="1" customFormat="1">
      <c r="A22" s="1" t="s">
        <v>124</v>
      </c>
      <c r="B22" s="7">
        <v>19</v>
      </c>
      <c r="C22" s="1" t="s">
        <v>25</v>
      </c>
      <c r="I22" s="1" t="s">
        <v>128</v>
      </c>
      <c r="J22" s="7">
        <v>19</v>
      </c>
      <c r="K22" s="1" t="s">
        <v>27</v>
      </c>
      <c r="M22" s="45" t="s">
        <v>23</v>
      </c>
      <c r="N22" s="1">
        <f>COUNTIFS(StaffPayroll[CR Rate Category],"Other Care Related",StaffPayroll[Period Days],"&gt;1")</f>
        <v>0</v>
      </c>
    </row>
    <row r="23" spans="1:19" s="1" customFormat="1">
      <c r="A23" s="1" t="s">
        <v>125</v>
      </c>
      <c r="B23" s="7">
        <v>19</v>
      </c>
      <c r="C23" s="1" t="s">
        <v>26</v>
      </c>
      <c r="M23" s="45" t="s">
        <v>129</v>
      </c>
      <c r="N23" s="1">
        <f>COUNTIFS(StaffPayroll[CR Rate Category],"Therapy",StaffPayroll[Period Days],"&gt;1")</f>
        <v>0</v>
      </c>
      <c r="O23" s="1">
        <f>SUM(N17:N23)</f>
        <v>0</v>
      </c>
    </row>
    <row r="24" spans="1:19" s="1" customFormat="1">
      <c r="A24" s="1" t="s">
        <v>126</v>
      </c>
      <c r="B24" s="7">
        <v>19</v>
      </c>
      <c r="C24" s="1" t="s">
        <v>26</v>
      </c>
      <c r="M24" s="45" t="s">
        <v>24</v>
      </c>
      <c r="N24" s="1">
        <f>COUNTIFS(StaffPayroll[CR Rate Category],"Dietary",StaffPayroll[Period Days],"&gt;1")</f>
        <v>0</v>
      </c>
    </row>
    <row r="25" spans="1:19" s="1" customFormat="1">
      <c r="A25" s="1" t="s">
        <v>127</v>
      </c>
      <c r="B25" s="7">
        <v>19</v>
      </c>
      <c r="C25" s="1" t="s">
        <v>27</v>
      </c>
      <c r="M25" s="45" t="s">
        <v>25</v>
      </c>
      <c r="N25" s="1">
        <f>COUNTIFS(StaffPayroll[CR Rate Category],"Laundry",StaffPayroll[Period Days],"&gt;1")</f>
        <v>0</v>
      </c>
    </row>
    <row r="26" spans="1:19">
      <c r="A26" s="1" t="s">
        <v>128</v>
      </c>
      <c r="B26" s="7">
        <v>19</v>
      </c>
      <c r="C26" s="1" t="s">
        <v>27</v>
      </c>
      <c r="E26" s="1"/>
      <c r="F26" s="1"/>
      <c r="G26" s="1"/>
      <c r="H26" s="1"/>
      <c r="I26" s="1"/>
      <c r="J26" s="1"/>
      <c r="K26" s="1"/>
      <c r="L26" s="1"/>
      <c r="M26" s="45" t="s">
        <v>26</v>
      </c>
      <c r="N26" s="1">
        <f>COUNTIFS(StaffPayroll[CR Rate Category],"Housekeeping",StaffPayroll[Period Days],"&gt;1")</f>
        <v>0</v>
      </c>
      <c r="O26" s="1"/>
      <c r="P26" s="1"/>
      <c r="Q26" s="1"/>
      <c r="R26" s="1"/>
      <c r="S26" s="1"/>
    </row>
    <row r="27" spans="1:19">
      <c r="A27" s="1"/>
      <c r="E27" s="1"/>
      <c r="F27" s="1"/>
      <c r="G27" s="1"/>
      <c r="H27" s="1"/>
      <c r="I27" s="1"/>
      <c r="J27" s="1"/>
      <c r="K27" s="1"/>
      <c r="L27" s="1"/>
      <c r="M27" s="45" t="s">
        <v>27</v>
      </c>
      <c r="N27" s="6">
        <f>COUNTIFS(StaffPayroll[CR Rate Category],"Maintenance",StaffPayroll[Period Days],"&gt;1")</f>
        <v>0</v>
      </c>
      <c r="O27" s="1">
        <f>SUM(N24:N27)</f>
        <v>0</v>
      </c>
      <c r="P27" s="1"/>
      <c r="Q27" s="1"/>
      <c r="R27" s="1"/>
      <c r="S27" s="1"/>
    </row>
    <row r="28" spans="1:19">
      <c r="A28" s="1"/>
      <c r="E28" s="1"/>
      <c r="F28" s="1"/>
      <c r="G28" s="1"/>
      <c r="H28" s="1"/>
      <c r="I28" s="1"/>
      <c r="J28" s="1"/>
      <c r="K28" s="1"/>
      <c r="L28" s="1"/>
      <c r="M28" s="1"/>
      <c r="N28" s="1">
        <f>SUM(N17:N27)</f>
        <v>0</v>
      </c>
      <c r="O28" s="1"/>
      <c r="P28" s="1"/>
      <c r="Q28" s="1"/>
      <c r="R28" s="1"/>
      <c r="S28" s="1"/>
    </row>
    <row r="31" spans="1:19">
      <c r="A31" s="1"/>
      <c r="E31" s="1"/>
      <c r="F31" s="1"/>
      <c r="G31" s="1"/>
      <c r="H31" s="1"/>
      <c r="I31" s="1"/>
      <c r="J31" s="7"/>
      <c r="K31" s="1"/>
      <c r="L31" s="1"/>
      <c r="M31" s="70"/>
      <c r="N31" s="1"/>
      <c r="O31" s="1"/>
      <c r="P31" s="1"/>
      <c r="Q31" s="1"/>
      <c r="R31" s="1"/>
      <c r="S31" s="1"/>
    </row>
    <row r="32" spans="1:19">
      <c r="A32" s="1"/>
      <c r="E32" s="1"/>
      <c r="F32" s="1"/>
      <c r="G32" s="1"/>
      <c r="H32" s="1"/>
      <c r="I32" s="1"/>
      <c r="J32" s="7"/>
      <c r="K32" s="1"/>
      <c r="L32" s="1"/>
      <c r="M32" s="70"/>
      <c r="N32" s="1"/>
      <c r="O32" s="1"/>
      <c r="P32" s="1"/>
      <c r="Q32" s="1"/>
      <c r="R32" s="1"/>
      <c r="S32" s="1"/>
    </row>
    <row r="33" spans="9:11">
      <c r="I33" s="1"/>
      <c r="J33" s="7"/>
      <c r="K33" s="1"/>
    </row>
    <row r="34" spans="9:11">
      <c r="I34" s="1"/>
      <c r="J34" s="7"/>
      <c r="K34" s="1"/>
    </row>
    <row r="35" spans="9:11">
      <c r="I35" s="1"/>
      <c r="J35" s="7"/>
      <c r="K3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3BD58-77C4-4DF2-9928-9E2F038D2A83}">
  <dimension ref="A1:AM334"/>
  <sheetViews>
    <sheetView workbookViewId="0">
      <selection activeCell="P22" sqref="P22"/>
    </sheetView>
  </sheetViews>
  <sheetFormatPr defaultColWidth="9.28515625" defaultRowHeight="14.45"/>
  <cols>
    <col min="1" max="1" width="6" style="1" bestFit="1" customWidth="1"/>
    <col min="2" max="2" width="68.7109375" style="1" bestFit="1" customWidth="1"/>
    <col min="3" max="3" width="8" style="1" bestFit="1" customWidth="1"/>
    <col min="4" max="6" width="7.28515625" style="1" bestFit="1" customWidth="1"/>
    <col min="7" max="11" width="8" style="1" bestFit="1" customWidth="1"/>
    <col min="12" max="12" width="7.28515625" style="1" bestFit="1" customWidth="1"/>
    <col min="13" max="15" width="8" style="1" bestFit="1" customWidth="1"/>
    <col min="16" max="17" width="7.28515625" style="1" bestFit="1" customWidth="1"/>
    <col min="18" max="18" width="7.7109375" style="1" bestFit="1" customWidth="1"/>
    <col min="19" max="20" width="7.28515625" style="1" bestFit="1" customWidth="1"/>
    <col min="21" max="21" width="8" style="1" bestFit="1" customWidth="1"/>
    <col min="22" max="28" width="7.28515625" style="1" bestFit="1" customWidth="1"/>
    <col min="29" max="29" width="8" style="1" bestFit="1" customWidth="1"/>
    <col min="30" max="30" width="7.28515625" style="1" bestFit="1" customWidth="1"/>
    <col min="31" max="31" width="13.28515625" style="1" bestFit="1" customWidth="1"/>
    <col min="32" max="32" width="9.28515625" style="1"/>
    <col min="33" max="33" width="12.5703125" style="1" bestFit="1" customWidth="1"/>
    <col min="34" max="34" width="13.28515625" style="1" bestFit="1" customWidth="1"/>
    <col min="35" max="35" width="10.28515625" style="1" bestFit="1" customWidth="1"/>
    <col min="36" max="36" width="10.28515625" style="1" customWidth="1"/>
    <col min="37" max="37" width="6.42578125" style="1" bestFit="1" customWidth="1"/>
    <col min="38" max="16384" width="9.28515625" style="1"/>
  </cols>
  <sheetData>
    <row r="1" spans="1:39">
      <c r="A1" s="1">
        <v>1</v>
      </c>
      <c r="B1" s="1">
        <v>2</v>
      </c>
      <c r="C1" s="1">
        <v>3</v>
      </c>
      <c r="D1" s="1">
        <v>4</v>
      </c>
      <c r="E1" s="1">
        <v>5</v>
      </c>
      <c r="F1" s="1">
        <v>6</v>
      </c>
      <c r="G1" s="1">
        <v>7</v>
      </c>
      <c r="H1" s="1">
        <v>8</v>
      </c>
      <c r="I1" s="1">
        <v>9</v>
      </c>
      <c r="J1" s="1">
        <v>10</v>
      </c>
      <c r="K1" s="1">
        <v>11</v>
      </c>
      <c r="L1" s="1">
        <v>12</v>
      </c>
      <c r="M1" s="1">
        <v>13</v>
      </c>
      <c r="N1" s="1">
        <v>14</v>
      </c>
      <c r="O1" s="1">
        <v>15</v>
      </c>
      <c r="P1" s="1">
        <v>16</v>
      </c>
      <c r="Q1" s="1">
        <v>17</v>
      </c>
      <c r="R1" s="1">
        <v>18</v>
      </c>
      <c r="S1" s="1">
        <v>19</v>
      </c>
      <c r="T1" s="1">
        <v>20</v>
      </c>
      <c r="U1" s="1">
        <v>21</v>
      </c>
      <c r="V1" s="1">
        <v>22</v>
      </c>
      <c r="W1" s="1">
        <v>23</v>
      </c>
      <c r="X1" s="1">
        <v>24</v>
      </c>
      <c r="Y1" s="1">
        <v>25</v>
      </c>
      <c r="Z1" s="1">
        <v>26</v>
      </c>
      <c r="AA1" s="1">
        <v>27</v>
      </c>
      <c r="AB1" s="1">
        <v>28</v>
      </c>
      <c r="AC1" s="1">
        <v>29</v>
      </c>
      <c r="AD1" s="1">
        <v>30</v>
      </c>
      <c r="AE1" s="1">
        <v>31</v>
      </c>
      <c r="AF1" s="1">
        <v>32</v>
      </c>
      <c r="AG1" s="1">
        <v>33</v>
      </c>
      <c r="AH1" s="1">
        <v>34</v>
      </c>
      <c r="AI1" s="1">
        <v>35</v>
      </c>
      <c r="AJ1" s="1">
        <v>36</v>
      </c>
      <c r="AK1" s="1">
        <v>37</v>
      </c>
      <c r="AM1" s="1" t="s">
        <v>130</v>
      </c>
    </row>
    <row r="2" spans="1:39">
      <c r="A2" s="8" t="s">
        <v>131</v>
      </c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  <c r="G2" s="8" t="s">
        <v>137</v>
      </c>
      <c r="H2" s="8" t="s">
        <v>138</v>
      </c>
      <c r="I2" s="8" t="s">
        <v>139</v>
      </c>
      <c r="J2" s="8" t="s">
        <v>140</v>
      </c>
      <c r="K2" s="8" t="s">
        <v>141</v>
      </c>
      <c r="L2" s="8" t="s">
        <v>142</v>
      </c>
      <c r="M2" s="8" t="s">
        <v>143</v>
      </c>
      <c r="N2" s="8" t="s">
        <v>144</v>
      </c>
      <c r="O2" s="8" t="s">
        <v>145</v>
      </c>
      <c r="P2" s="8" t="s">
        <v>146</v>
      </c>
      <c r="Q2" s="8" t="s">
        <v>147</v>
      </c>
      <c r="R2" s="8" t="s">
        <v>148</v>
      </c>
      <c r="S2" s="8" t="s">
        <v>149</v>
      </c>
      <c r="T2" s="8" t="s">
        <v>150</v>
      </c>
      <c r="U2" s="8" t="s">
        <v>151</v>
      </c>
      <c r="V2" s="8" t="s">
        <v>152</v>
      </c>
      <c r="W2" s="8" t="s">
        <v>153</v>
      </c>
      <c r="X2" s="8" t="s">
        <v>154</v>
      </c>
      <c r="Y2" s="8" t="s">
        <v>155</v>
      </c>
      <c r="Z2" s="8" t="s">
        <v>156</v>
      </c>
      <c r="AA2" s="8" t="s">
        <v>157</v>
      </c>
      <c r="AB2" s="8" t="s">
        <v>158</v>
      </c>
      <c r="AC2" s="8" t="s">
        <v>159</v>
      </c>
      <c r="AD2" s="8" t="s">
        <v>160</v>
      </c>
      <c r="AE2" s="8" t="s">
        <v>161</v>
      </c>
      <c r="AF2" s="8" t="s">
        <v>162</v>
      </c>
      <c r="AG2" s="8" t="s">
        <v>163</v>
      </c>
      <c r="AH2" s="8" t="s">
        <v>164</v>
      </c>
      <c r="AI2" s="8" t="s">
        <v>165</v>
      </c>
      <c r="AJ2" s="8" t="s">
        <v>166</v>
      </c>
      <c r="AK2" s="8" t="s">
        <v>167</v>
      </c>
    </row>
    <row r="3" spans="1:39">
      <c r="A3" s="1">
        <v>1001</v>
      </c>
      <c r="B3" s="1" t="s">
        <v>168</v>
      </c>
      <c r="C3" s="1">
        <v>169486</v>
      </c>
      <c r="D3" s="1">
        <v>2709</v>
      </c>
      <c r="E3" s="1">
        <v>38635</v>
      </c>
      <c r="F3" s="1">
        <v>65446</v>
      </c>
      <c r="G3" s="1">
        <v>216963</v>
      </c>
      <c r="H3" s="1">
        <v>334524</v>
      </c>
      <c r="I3" s="1">
        <v>97228</v>
      </c>
      <c r="J3" s="1">
        <v>605262</v>
      </c>
      <c r="K3" s="1">
        <v>209506</v>
      </c>
      <c r="L3" s="1">
        <v>49052</v>
      </c>
      <c r="M3" s="1">
        <v>0</v>
      </c>
      <c r="N3" s="1">
        <v>52506</v>
      </c>
      <c r="O3" s="1">
        <v>48270</v>
      </c>
      <c r="P3" s="1">
        <v>0</v>
      </c>
      <c r="Q3" s="1">
        <v>0</v>
      </c>
      <c r="R3" s="1">
        <v>13371</v>
      </c>
      <c r="S3" s="1">
        <v>0</v>
      </c>
      <c r="T3" s="1">
        <v>0</v>
      </c>
      <c r="U3" s="1">
        <v>215043</v>
      </c>
      <c r="V3" s="1">
        <v>-301</v>
      </c>
      <c r="W3" s="1">
        <v>31930</v>
      </c>
      <c r="X3" s="1">
        <v>505</v>
      </c>
      <c r="Y3" s="1">
        <v>124855</v>
      </c>
      <c r="Z3" s="1">
        <v>1069</v>
      </c>
      <c r="AA3" s="1">
        <v>61354</v>
      </c>
      <c r="AB3" s="1">
        <v>970</v>
      </c>
      <c r="AC3" s="1">
        <v>194365</v>
      </c>
      <c r="AD3" s="1">
        <v>-1054</v>
      </c>
      <c r="AE3" s="1">
        <f>SUM(G3:AD3)</f>
        <v>2255418</v>
      </c>
      <c r="AF3" s="9">
        <f>$C3/$AE$3</f>
        <v>7.5146159159854176E-2</v>
      </c>
      <c r="AG3" s="9">
        <f>D3/AE3</f>
        <v>1.2011077325799475E-3</v>
      </c>
      <c r="AH3" s="9">
        <f>E3/AE3</f>
        <v>1.712986240244602E-2</v>
      </c>
      <c r="AI3" s="9">
        <f>F3/AE3</f>
        <v>2.9017237602963177E-2</v>
      </c>
      <c r="AJ3" s="1" t="str">
        <f>IF(VLOOKUP(A3,Hospital!A:C,3,FALSE)="H","Hospital","Freestanding")</f>
        <v>Freestanding</v>
      </c>
      <c r="AK3" s="1">
        <v>2024</v>
      </c>
    </row>
    <row r="4" spans="1:39">
      <c r="A4" s="1">
        <v>1002</v>
      </c>
      <c r="B4" s="1" t="s">
        <v>169</v>
      </c>
      <c r="C4" s="1">
        <v>276824</v>
      </c>
      <c r="D4" s="1">
        <v>14944</v>
      </c>
      <c r="E4" s="1">
        <v>56454</v>
      </c>
      <c r="F4" s="1">
        <v>0</v>
      </c>
      <c r="G4" s="1">
        <v>446345</v>
      </c>
      <c r="H4" s="1">
        <v>634330</v>
      </c>
      <c r="I4" s="1">
        <v>343410</v>
      </c>
      <c r="J4" s="1">
        <v>965749</v>
      </c>
      <c r="K4" s="1">
        <v>0</v>
      </c>
      <c r="L4" s="1">
        <v>75626</v>
      </c>
      <c r="M4" s="1">
        <v>0</v>
      </c>
      <c r="N4" s="1">
        <v>26728</v>
      </c>
      <c r="O4" s="1">
        <v>175126</v>
      </c>
      <c r="P4" s="1">
        <v>0</v>
      </c>
      <c r="Q4" s="1">
        <v>0</v>
      </c>
      <c r="R4" s="1">
        <v>-12080</v>
      </c>
      <c r="S4" s="1">
        <v>0</v>
      </c>
      <c r="T4" s="1">
        <v>0</v>
      </c>
      <c r="U4" s="1">
        <v>218823</v>
      </c>
      <c r="V4" s="1">
        <v>475</v>
      </c>
      <c r="W4" s="1">
        <v>10621</v>
      </c>
      <c r="X4" s="1">
        <v>-190</v>
      </c>
      <c r="Y4" s="1">
        <v>130827</v>
      </c>
      <c r="Z4" s="1">
        <v>630</v>
      </c>
      <c r="AA4" s="1">
        <v>149134</v>
      </c>
      <c r="AB4" s="1">
        <v>-682</v>
      </c>
      <c r="AC4" s="1">
        <v>523779</v>
      </c>
      <c r="AD4" s="1">
        <v>12609</v>
      </c>
      <c r="AE4" s="1">
        <f t="shared" ref="AE4:AE67" si="0">SUM(G4:AD4)</f>
        <v>3701260</v>
      </c>
      <c r="AF4" s="9">
        <f t="shared" ref="AF4:AF67" si="1">C4/AE4</f>
        <v>7.4791827647882073E-2</v>
      </c>
      <c r="AG4" s="9">
        <f t="shared" ref="AG4:AG67" si="2">D4/AE4</f>
        <v>4.0375439715124037E-3</v>
      </c>
      <c r="AH4" s="9">
        <f t="shared" ref="AH4:AH67" si="3">E4/AE4</f>
        <v>1.5252643694309505E-2</v>
      </c>
      <c r="AI4" s="9">
        <f t="shared" ref="AI4:AI67" si="4">F4/AE4</f>
        <v>0</v>
      </c>
      <c r="AJ4" s="1" t="str">
        <f>IF(VLOOKUP(A4,Hospital!A:C,3,FALSE)="H","Hospital","Freestanding")</f>
        <v>Freestanding</v>
      </c>
      <c r="AK4" s="1">
        <v>2024</v>
      </c>
    </row>
    <row r="5" spans="1:39">
      <c r="A5" s="1">
        <v>2001</v>
      </c>
      <c r="B5" s="1" t="s">
        <v>170</v>
      </c>
      <c r="C5" s="1">
        <v>334084</v>
      </c>
      <c r="D5" s="1">
        <v>64275</v>
      </c>
      <c r="E5" s="1">
        <v>64905</v>
      </c>
      <c r="F5" s="1">
        <v>0</v>
      </c>
      <c r="G5" s="1">
        <v>312600</v>
      </c>
      <c r="H5" s="1">
        <v>519661</v>
      </c>
      <c r="I5" s="1">
        <v>669094</v>
      </c>
      <c r="J5" s="1">
        <v>1379216</v>
      </c>
      <c r="K5" s="1">
        <v>252456</v>
      </c>
      <c r="L5" s="1">
        <v>268510</v>
      </c>
      <c r="M5" s="1">
        <v>0</v>
      </c>
      <c r="N5" s="1">
        <v>21751</v>
      </c>
      <c r="O5" s="1">
        <v>148133</v>
      </c>
      <c r="P5" s="1">
        <v>118525</v>
      </c>
      <c r="Q5" s="1">
        <v>0</v>
      </c>
      <c r="R5" s="1">
        <v>-23309</v>
      </c>
      <c r="S5" s="1">
        <v>0</v>
      </c>
      <c r="T5" s="1">
        <v>0</v>
      </c>
      <c r="U5" s="1">
        <v>508666</v>
      </c>
      <c r="V5" s="1">
        <v>-17280</v>
      </c>
      <c r="W5" s="1">
        <v>0</v>
      </c>
      <c r="X5" s="1">
        <v>0</v>
      </c>
      <c r="Y5" s="1">
        <v>169516</v>
      </c>
      <c r="Z5" s="1">
        <v>6532</v>
      </c>
      <c r="AA5" s="1">
        <v>153286</v>
      </c>
      <c r="AB5" s="1">
        <v>-12032</v>
      </c>
      <c r="AC5" s="1">
        <v>495123</v>
      </c>
      <c r="AD5" s="1">
        <v>-20424</v>
      </c>
      <c r="AE5" s="1">
        <f t="shared" si="0"/>
        <v>4950024</v>
      </c>
      <c r="AF5" s="9">
        <f t="shared" si="1"/>
        <v>6.7491389940735641E-2</v>
      </c>
      <c r="AG5" s="9">
        <f t="shared" si="2"/>
        <v>1.298478552831259E-2</v>
      </c>
      <c r="AH5" s="9">
        <f t="shared" si="3"/>
        <v>1.311205763850842E-2</v>
      </c>
      <c r="AI5" s="9">
        <f t="shared" si="4"/>
        <v>0</v>
      </c>
      <c r="AJ5" s="1" t="str">
        <f>IF(VLOOKUP(A5,Hospital!A:C,3,FALSE)="H","Hospital","Freestanding")</f>
        <v>Freestanding</v>
      </c>
      <c r="AK5" s="1">
        <v>2024</v>
      </c>
    </row>
    <row r="6" spans="1:39">
      <c r="A6" s="1">
        <v>2002</v>
      </c>
      <c r="B6" s="1" t="s">
        <v>171</v>
      </c>
      <c r="C6" s="1">
        <v>614201</v>
      </c>
      <c r="D6" s="1">
        <v>294</v>
      </c>
      <c r="E6" s="1">
        <v>228707</v>
      </c>
      <c r="F6" s="1">
        <v>67103</v>
      </c>
      <c r="G6" s="1">
        <v>612445</v>
      </c>
      <c r="H6" s="1">
        <v>1805605</v>
      </c>
      <c r="I6" s="1">
        <v>1438723</v>
      </c>
      <c r="J6" s="1">
        <v>2065367</v>
      </c>
      <c r="K6" s="1">
        <v>0</v>
      </c>
      <c r="L6" s="1">
        <v>349756</v>
      </c>
      <c r="M6" s="1">
        <v>0</v>
      </c>
      <c r="N6" s="1">
        <v>347243</v>
      </c>
      <c r="O6" s="1">
        <v>218701</v>
      </c>
      <c r="P6" s="1">
        <v>0</v>
      </c>
      <c r="Q6" s="1">
        <v>51457</v>
      </c>
      <c r="R6" s="1">
        <v>35580</v>
      </c>
      <c r="S6" s="1">
        <v>0</v>
      </c>
      <c r="T6" s="1">
        <v>0</v>
      </c>
      <c r="U6" s="1">
        <v>672632</v>
      </c>
      <c r="V6" s="1">
        <v>3849</v>
      </c>
      <c r="W6" s="1">
        <v>0</v>
      </c>
      <c r="X6" s="1">
        <v>0</v>
      </c>
      <c r="Y6" s="1">
        <v>217293</v>
      </c>
      <c r="Z6" s="1">
        <v>616</v>
      </c>
      <c r="AA6" s="1">
        <v>139506</v>
      </c>
      <c r="AB6" s="1">
        <v>1541</v>
      </c>
      <c r="AC6" s="1">
        <v>522361</v>
      </c>
      <c r="AD6" s="1">
        <v>6506</v>
      </c>
      <c r="AE6" s="1">
        <f t="shared" si="0"/>
        <v>8489181</v>
      </c>
      <c r="AF6" s="9">
        <f t="shared" si="1"/>
        <v>7.2351031271450095E-2</v>
      </c>
      <c r="AG6" s="9">
        <f t="shared" si="2"/>
        <v>3.4632316120954422E-5</v>
      </c>
      <c r="AH6" s="9">
        <f t="shared" si="3"/>
        <v>2.6940997017262325E-2</v>
      </c>
      <c r="AI6" s="9">
        <f t="shared" si="4"/>
        <v>7.9045316621238256E-3</v>
      </c>
      <c r="AJ6" s="1" t="str">
        <f>IF(VLOOKUP(A6,Hospital!A:C,3,FALSE)="H","Hospital","Freestanding")</f>
        <v>Freestanding</v>
      </c>
      <c r="AK6" s="1">
        <v>2024</v>
      </c>
    </row>
    <row r="7" spans="1:39">
      <c r="A7" s="1">
        <v>2004</v>
      </c>
      <c r="B7" s="1" t="s">
        <v>172</v>
      </c>
      <c r="C7" s="1">
        <v>200986</v>
      </c>
      <c r="D7" s="1">
        <v>13595</v>
      </c>
      <c r="E7" s="1">
        <v>20175</v>
      </c>
      <c r="F7" s="1">
        <v>17845</v>
      </c>
      <c r="G7" s="1">
        <v>235884</v>
      </c>
      <c r="H7" s="1">
        <v>166198</v>
      </c>
      <c r="I7" s="1">
        <v>567232</v>
      </c>
      <c r="J7" s="1">
        <v>706706</v>
      </c>
      <c r="K7" s="1">
        <v>164075</v>
      </c>
      <c r="L7" s="1">
        <v>28236</v>
      </c>
      <c r="M7" s="1">
        <v>0</v>
      </c>
      <c r="N7" s="1">
        <v>59933</v>
      </c>
      <c r="O7" s="1">
        <v>92486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287306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49557</v>
      </c>
      <c r="AB7" s="1">
        <v>0</v>
      </c>
      <c r="AC7" s="1">
        <v>261508</v>
      </c>
      <c r="AD7" s="1">
        <v>0</v>
      </c>
      <c r="AE7" s="1">
        <f t="shared" si="0"/>
        <v>2619121</v>
      </c>
      <c r="AF7" s="9">
        <f t="shared" si="1"/>
        <v>7.6737959032820546E-2</v>
      </c>
      <c r="AG7" s="9">
        <f t="shared" si="2"/>
        <v>5.1906727486053525E-3</v>
      </c>
      <c r="AH7" s="9">
        <f t="shared" si="3"/>
        <v>7.7029659950800288E-3</v>
      </c>
      <c r="AI7" s="9">
        <f t="shared" si="4"/>
        <v>6.8133545567386922E-3</v>
      </c>
      <c r="AJ7" s="1" t="str">
        <f>IF(VLOOKUP(A7,Hospital!A:C,3,FALSE)="H","Hospital","Freestanding")</f>
        <v>Freestanding</v>
      </c>
      <c r="AK7" s="1">
        <v>2024</v>
      </c>
    </row>
    <row r="8" spans="1:39">
      <c r="A8" s="1">
        <v>2005</v>
      </c>
      <c r="B8" s="1" t="s">
        <v>173</v>
      </c>
      <c r="C8" s="1">
        <v>142734</v>
      </c>
      <c r="D8" s="1">
        <v>25730</v>
      </c>
      <c r="E8" s="1">
        <v>57411</v>
      </c>
      <c r="F8" s="1">
        <v>10645</v>
      </c>
      <c r="G8" s="1">
        <v>174428</v>
      </c>
      <c r="H8" s="1">
        <v>20551</v>
      </c>
      <c r="I8" s="1">
        <v>138485</v>
      </c>
      <c r="J8" s="1">
        <v>641361</v>
      </c>
      <c r="K8" s="1">
        <v>210676</v>
      </c>
      <c r="L8" s="1">
        <v>22734</v>
      </c>
      <c r="M8" s="1">
        <v>0</v>
      </c>
      <c r="N8" s="1">
        <v>61893</v>
      </c>
      <c r="O8" s="1">
        <v>55595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261216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57101</v>
      </c>
      <c r="AB8" s="1">
        <v>0</v>
      </c>
      <c r="AC8" s="1">
        <v>193934</v>
      </c>
      <c r="AD8" s="1">
        <v>0</v>
      </c>
      <c r="AE8" s="1">
        <f t="shared" si="0"/>
        <v>1837974</v>
      </c>
      <c r="AF8" s="9">
        <f t="shared" si="1"/>
        <v>7.7658334666322812E-2</v>
      </c>
      <c r="AG8" s="9">
        <f t="shared" si="2"/>
        <v>1.3999109889476129E-2</v>
      </c>
      <c r="AH8" s="9">
        <f t="shared" si="3"/>
        <v>3.1236024013397361E-2</v>
      </c>
      <c r="AI8" s="9">
        <f t="shared" si="4"/>
        <v>5.7917032558676019E-3</v>
      </c>
      <c r="AJ8" s="1" t="str">
        <f>IF(VLOOKUP(A8,Hospital!A:C,3,FALSE)="H","Hospital","Freestanding")</f>
        <v>Freestanding</v>
      </c>
      <c r="AK8" s="1">
        <v>2024</v>
      </c>
    </row>
    <row r="9" spans="1:39">
      <c r="A9" s="1">
        <v>2006</v>
      </c>
      <c r="B9" s="1" t="s">
        <v>174</v>
      </c>
      <c r="C9" s="1">
        <v>574391</v>
      </c>
      <c r="D9" s="1">
        <v>32774</v>
      </c>
      <c r="E9" s="1">
        <v>82460</v>
      </c>
      <c r="F9" s="1">
        <v>5147</v>
      </c>
      <c r="G9" s="1">
        <v>383183</v>
      </c>
      <c r="H9" s="1">
        <v>696421</v>
      </c>
      <c r="I9" s="1">
        <v>1213910</v>
      </c>
      <c r="J9" s="1">
        <v>2582990</v>
      </c>
      <c r="K9" s="1">
        <v>235247</v>
      </c>
      <c r="L9" s="1">
        <v>215977</v>
      </c>
      <c r="M9" s="1">
        <v>0</v>
      </c>
      <c r="N9" s="1">
        <v>144700</v>
      </c>
      <c r="O9" s="1">
        <v>229667</v>
      </c>
      <c r="P9" s="1">
        <v>0</v>
      </c>
      <c r="Q9" s="1">
        <v>71779</v>
      </c>
      <c r="R9" s="1">
        <v>-2119</v>
      </c>
      <c r="S9" s="1">
        <v>0</v>
      </c>
      <c r="T9" s="1">
        <v>0</v>
      </c>
      <c r="U9" s="1">
        <v>637321</v>
      </c>
      <c r="V9" s="1">
        <v>7617</v>
      </c>
      <c r="W9" s="1">
        <v>97595</v>
      </c>
      <c r="X9" s="1">
        <v>124</v>
      </c>
      <c r="Y9" s="1">
        <v>259036</v>
      </c>
      <c r="Z9" s="1">
        <v>3807</v>
      </c>
      <c r="AA9" s="1">
        <v>137005</v>
      </c>
      <c r="AB9" s="1">
        <v>156</v>
      </c>
      <c r="AC9" s="1">
        <v>458666</v>
      </c>
      <c r="AD9" s="1">
        <v>-1908</v>
      </c>
      <c r="AE9" s="1">
        <f t="shared" si="0"/>
        <v>7371174</v>
      </c>
      <c r="AF9" s="9">
        <f t="shared" si="1"/>
        <v>7.79239507845019E-2</v>
      </c>
      <c r="AG9" s="9">
        <f t="shared" si="2"/>
        <v>4.4462388216585311E-3</v>
      </c>
      <c r="AH9" s="9">
        <f t="shared" si="3"/>
        <v>1.1186820444070374E-2</v>
      </c>
      <c r="AI9" s="9">
        <f t="shared" si="4"/>
        <v>6.98260548455375E-4</v>
      </c>
      <c r="AJ9" s="1" t="str">
        <f>IF(VLOOKUP(A9,Hospital!A:C,3,FALSE)="H","Hospital","Freestanding")</f>
        <v>Freestanding</v>
      </c>
      <c r="AK9" s="1">
        <v>2024</v>
      </c>
    </row>
    <row r="10" spans="1:39">
      <c r="A10" s="1">
        <v>3001</v>
      </c>
      <c r="B10" s="1" t="s">
        <v>175</v>
      </c>
      <c r="C10" s="1">
        <v>152557</v>
      </c>
      <c r="D10" s="1">
        <v>0</v>
      </c>
      <c r="E10" s="1">
        <v>25803</v>
      </c>
      <c r="F10" s="1">
        <v>0</v>
      </c>
      <c r="G10" s="1">
        <v>167082</v>
      </c>
      <c r="H10" s="1">
        <v>353311</v>
      </c>
      <c r="I10" s="1">
        <v>101515</v>
      </c>
      <c r="J10" s="1">
        <v>725700</v>
      </c>
      <c r="K10" s="1">
        <v>130869</v>
      </c>
      <c r="L10" s="1">
        <v>0</v>
      </c>
      <c r="M10" s="1">
        <v>0</v>
      </c>
      <c r="N10" s="1">
        <v>47571</v>
      </c>
      <c r="O10" s="1">
        <v>61081</v>
      </c>
      <c r="P10" s="1">
        <v>0</v>
      </c>
      <c r="Q10" s="1">
        <v>0</v>
      </c>
      <c r="R10" s="1">
        <v>10764</v>
      </c>
      <c r="S10" s="1">
        <v>0</v>
      </c>
      <c r="T10" s="1">
        <v>0</v>
      </c>
      <c r="U10" s="1">
        <v>203723</v>
      </c>
      <c r="V10" s="1">
        <v>1598</v>
      </c>
      <c r="W10" s="1">
        <v>21816</v>
      </c>
      <c r="X10" s="1">
        <v>255</v>
      </c>
      <c r="Y10" s="1">
        <v>43575</v>
      </c>
      <c r="Z10" s="1">
        <v>-2554</v>
      </c>
      <c r="AA10" s="1">
        <v>61700</v>
      </c>
      <c r="AB10" s="1">
        <v>145</v>
      </c>
      <c r="AC10" s="1">
        <v>155100</v>
      </c>
      <c r="AD10" s="1">
        <v>2446</v>
      </c>
      <c r="AE10" s="1">
        <f t="shared" si="0"/>
        <v>2085697</v>
      </c>
      <c r="AF10" s="9">
        <f t="shared" si="1"/>
        <v>7.3144373319806277E-2</v>
      </c>
      <c r="AG10" s="9">
        <f t="shared" si="2"/>
        <v>0</v>
      </c>
      <c r="AH10" s="9">
        <f t="shared" si="3"/>
        <v>1.2371403899991225E-2</v>
      </c>
      <c r="AI10" s="9">
        <f t="shared" si="4"/>
        <v>0</v>
      </c>
      <c r="AJ10" s="1" t="str">
        <f>IF(VLOOKUP(A10,Hospital!A:C,3,FALSE)="H","Hospital","Freestanding")</f>
        <v>Freestanding</v>
      </c>
      <c r="AK10" s="1">
        <v>2024</v>
      </c>
    </row>
    <row r="11" spans="1:39">
      <c r="A11" s="1">
        <v>3002</v>
      </c>
      <c r="B11" s="1" t="s">
        <v>176</v>
      </c>
      <c r="C11" s="1">
        <v>202891</v>
      </c>
      <c r="D11" s="1">
        <v>14013</v>
      </c>
      <c r="E11" s="1">
        <v>113216</v>
      </c>
      <c r="F11" s="1">
        <v>19279</v>
      </c>
      <c r="G11" s="1">
        <v>178733</v>
      </c>
      <c r="H11" s="1">
        <v>644094</v>
      </c>
      <c r="I11" s="1">
        <v>129237</v>
      </c>
      <c r="J11" s="1">
        <v>642839</v>
      </c>
      <c r="K11" s="1">
        <v>0</v>
      </c>
      <c r="L11" s="1">
        <v>39951</v>
      </c>
      <c r="M11" s="1">
        <v>0</v>
      </c>
      <c r="N11" s="1">
        <v>58083</v>
      </c>
      <c r="O11" s="1">
        <v>80494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136479</v>
      </c>
      <c r="V11" s="1">
        <v>0</v>
      </c>
      <c r="W11" s="1">
        <v>0</v>
      </c>
      <c r="X11" s="1">
        <v>0</v>
      </c>
      <c r="Y11" s="1">
        <v>35187</v>
      </c>
      <c r="Z11" s="1">
        <v>0</v>
      </c>
      <c r="AA11" s="1">
        <v>53870</v>
      </c>
      <c r="AB11" s="1">
        <v>0</v>
      </c>
      <c r="AC11" s="1">
        <v>276596</v>
      </c>
      <c r="AD11" s="1">
        <v>0</v>
      </c>
      <c r="AE11" s="1">
        <f t="shared" si="0"/>
        <v>2275563</v>
      </c>
      <c r="AF11" s="9">
        <f t="shared" si="1"/>
        <v>8.9160792296236135E-2</v>
      </c>
      <c r="AG11" s="9">
        <f t="shared" si="2"/>
        <v>6.158036494704827E-3</v>
      </c>
      <c r="AH11" s="9">
        <f t="shared" si="3"/>
        <v>4.9752962233961438E-2</v>
      </c>
      <c r="AI11" s="9">
        <f t="shared" si="4"/>
        <v>8.4721890802408016E-3</v>
      </c>
      <c r="AJ11" s="1" t="str">
        <f>IF(VLOOKUP(A11,Hospital!A:C,3,FALSE)="H","Hospital","Freestanding")</f>
        <v>Freestanding</v>
      </c>
      <c r="AK11" s="1">
        <v>2024</v>
      </c>
    </row>
    <row r="12" spans="1:39">
      <c r="A12" s="1">
        <v>3003</v>
      </c>
      <c r="B12" s="1" t="s">
        <v>177</v>
      </c>
      <c r="C12" s="1">
        <v>0</v>
      </c>
      <c r="D12" s="1">
        <v>0</v>
      </c>
      <c r="E12" s="1">
        <v>17875</v>
      </c>
      <c r="F12" s="1">
        <v>0</v>
      </c>
      <c r="G12" s="1">
        <v>643647</v>
      </c>
      <c r="H12" s="1">
        <v>1139242</v>
      </c>
      <c r="I12" s="1">
        <v>364720</v>
      </c>
      <c r="J12" s="1">
        <v>2081464</v>
      </c>
      <c r="K12" s="1">
        <v>175494</v>
      </c>
      <c r="L12" s="1">
        <v>113509</v>
      </c>
      <c r="M12" s="1">
        <v>0</v>
      </c>
      <c r="N12" s="1">
        <v>133160</v>
      </c>
      <c r="O12" s="1">
        <v>77410</v>
      </c>
      <c r="P12" s="1">
        <v>79288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f t="shared" si="0"/>
        <v>4807934</v>
      </c>
      <c r="AF12" s="9">
        <f t="shared" si="1"/>
        <v>0</v>
      </c>
      <c r="AG12" s="9">
        <f t="shared" si="2"/>
        <v>0</v>
      </c>
      <c r="AH12" s="9">
        <f t="shared" si="3"/>
        <v>3.7178130980999322E-3</v>
      </c>
      <c r="AI12" s="9">
        <f t="shared" si="4"/>
        <v>0</v>
      </c>
      <c r="AJ12" s="1" t="str">
        <f>IF(VLOOKUP(A12,Hospital!A:C,3,FALSE)="H","Hospital","Freestanding")</f>
        <v>Hospital</v>
      </c>
      <c r="AK12" s="1">
        <v>2024</v>
      </c>
    </row>
    <row r="13" spans="1:39">
      <c r="A13" s="1">
        <v>3004</v>
      </c>
      <c r="B13" s="1" t="s">
        <v>178</v>
      </c>
      <c r="C13" s="1">
        <v>304178</v>
      </c>
      <c r="D13" s="1">
        <v>6456</v>
      </c>
      <c r="E13" s="1">
        <v>77136</v>
      </c>
      <c r="F13" s="1">
        <v>157201</v>
      </c>
      <c r="G13" s="1">
        <v>357891</v>
      </c>
      <c r="H13" s="1">
        <v>730543</v>
      </c>
      <c r="I13" s="1">
        <v>690957</v>
      </c>
      <c r="J13" s="1">
        <v>843410</v>
      </c>
      <c r="K13" s="1">
        <v>30519</v>
      </c>
      <c r="L13" s="1">
        <v>101027</v>
      </c>
      <c r="M13" s="1">
        <v>0</v>
      </c>
      <c r="N13" s="1">
        <v>122143</v>
      </c>
      <c r="O13" s="1">
        <v>97787</v>
      </c>
      <c r="P13" s="1">
        <v>-1095</v>
      </c>
      <c r="Q13" s="1">
        <v>0</v>
      </c>
      <c r="R13" s="1">
        <v>-822</v>
      </c>
      <c r="S13" s="1">
        <v>0</v>
      </c>
      <c r="T13" s="1">
        <v>0</v>
      </c>
      <c r="U13" s="1">
        <v>392354</v>
      </c>
      <c r="V13" s="1">
        <v>-2860</v>
      </c>
      <c r="W13" s="1">
        <v>71027</v>
      </c>
      <c r="X13" s="1">
        <v>-906</v>
      </c>
      <c r="Y13" s="1">
        <v>104650</v>
      </c>
      <c r="Z13" s="1">
        <v>-772</v>
      </c>
      <c r="AA13" s="1">
        <v>130392</v>
      </c>
      <c r="AB13" s="1">
        <v>1775</v>
      </c>
      <c r="AC13" s="1">
        <v>421606</v>
      </c>
      <c r="AD13" s="1">
        <v>-3078</v>
      </c>
      <c r="AE13" s="1">
        <f t="shared" si="0"/>
        <v>4086548</v>
      </c>
      <c r="AF13" s="9">
        <f t="shared" si="1"/>
        <v>7.4433972144705013E-2</v>
      </c>
      <c r="AG13" s="9">
        <f t="shared" si="2"/>
        <v>1.579817488990708E-3</v>
      </c>
      <c r="AH13" s="9">
        <f t="shared" si="3"/>
        <v>1.8875588883331358E-2</v>
      </c>
      <c r="AI13" s="9">
        <f t="shared" si="4"/>
        <v>3.8467919623114667E-2</v>
      </c>
      <c r="AJ13" s="1" t="str">
        <f>IF(VLOOKUP(A13,Hospital!A:C,3,FALSE)="H","Hospital","Freestanding")</f>
        <v>Freestanding</v>
      </c>
      <c r="AK13" s="1">
        <v>2024</v>
      </c>
    </row>
    <row r="14" spans="1:39">
      <c r="A14" s="1">
        <v>4001</v>
      </c>
      <c r="B14" s="1" t="s">
        <v>179</v>
      </c>
      <c r="C14" s="1">
        <v>151801</v>
      </c>
      <c r="D14" s="1">
        <v>0</v>
      </c>
      <c r="E14" s="1">
        <v>2142</v>
      </c>
      <c r="F14" s="1">
        <v>78460</v>
      </c>
      <c r="G14" s="1">
        <v>176450</v>
      </c>
      <c r="H14" s="1">
        <v>329970</v>
      </c>
      <c r="I14" s="1">
        <v>101372</v>
      </c>
      <c r="J14" s="1">
        <v>583274</v>
      </c>
      <c r="K14" s="1">
        <v>143267</v>
      </c>
      <c r="L14" s="1">
        <v>23224</v>
      </c>
      <c r="M14" s="1">
        <v>0</v>
      </c>
      <c r="N14" s="1">
        <v>26687</v>
      </c>
      <c r="O14" s="1">
        <v>55885</v>
      </c>
      <c r="P14" s="1">
        <v>0</v>
      </c>
      <c r="Q14" s="1">
        <v>0</v>
      </c>
      <c r="R14" s="1">
        <v>12459</v>
      </c>
      <c r="S14" s="1">
        <v>0</v>
      </c>
      <c r="T14" s="1">
        <v>0</v>
      </c>
      <c r="U14" s="1">
        <v>163421</v>
      </c>
      <c r="V14" s="1">
        <v>-3895</v>
      </c>
      <c r="W14" s="1">
        <v>47348</v>
      </c>
      <c r="X14" s="1">
        <v>315</v>
      </c>
      <c r="Y14" s="1">
        <v>50499</v>
      </c>
      <c r="Z14" s="1">
        <v>-2196</v>
      </c>
      <c r="AA14" s="1">
        <v>58391</v>
      </c>
      <c r="AB14" s="1">
        <v>4588</v>
      </c>
      <c r="AC14" s="1">
        <v>162190</v>
      </c>
      <c r="AD14" s="1">
        <v>616</v>
      </c>
      <c r="AE14" s="1">
        <f t="shared" si="0"/>
        <v>1933865</v>
      </c>
      <c r="AF14" s="9">
        <f t="shared" si="1"/>
        <v>7.8496172173341983E-2</v>
      </c>
      <c r="AG14" s="9">
        <f t="shared" si="2"/>
        <v>0</v>
      </c>
      <c r="AH14" s="9">
        <f t="shared" si="3"/>
        <v>1.1076264372125251E-3</v>
      </c>
      <c r="AI14" s="9">
        <f t="shared" si="4"/>
        <v>4.0571601430296325E-2</v>
      </c>
      <c r="AJ14" s="1" t="str">
        <f>IF(VLOOKUP(A14,Hospital!A:C,3,FALSE)="H","Hospital","Freestanding")</f>
        <v>Freestanding</v>
      </c>
      <c r="AK14" s="1">
        <v>2024</v>
      </c>
    </row>
    <row r="15" spans="1:39">
      <c r="A15" s="1">
        <v>4003</v>
      </c>
      <c r="B15" s="1" t="s">
        <v>180</v>
      </c>
      <c r="C15" s="1">
        <v>397233</v>
      </c>
      <c r="D15" s="1">
        <v>0</v>
      </c>
      <c r="E15" s="1">
        <v>45644</v>
      </c>
      <c r="F15" s="1">
        <v>218366</v>
      </c>
      <c r="G15" s="1">
        <v>565148</v>
      </c>
      <c r="H15" s="1">
        <v>1005801</v>
      </c>
      <c r="I15" s="1">
        <v>665968</v>
      </c>
      <c r="J15" s="1">
        <v>1190557</v>
      </c>
      <c r="K15" s="1">
        <v>390297</v>
      </c>
      <c r="L15" s="1">
        <v>123315</v>
      </c>
      <c r="M15" s="1">
        <v>0</v>
      </c>
      <c r="N15" s="1">
        <v>144902</v>
      </c>
      <c r="O15" s="1">
        <v>99817</v>
      </c>
      <c r="P15" s="1">
        <v>322</v>
      </c>
      <c r="Q15" s="1">
        <v>0</v>
      </c>
      <c r="R15" s="1">
        <v>26380</v>
      </c>
      <c r="S15" s="1">
        <v>0</v>
      </c>
      <c r="T15" s="1">
        <v>0</v>
      </c>
      <c r="U15" s="1">
        <v>404758</v>
      </c>
      <c r="V15" s="1">
        <v>2688</v>
      </c>
      <c r="W15" s="1">
        <v>38752</v>
      </c>
      <c r="X15" s="1">
        <v>338</v>
      </c>
      <c r="Y15" s="1">
        <v>108365</v>
      </c>
      <c r="Z15" s="1">
        <v>676</v>
      </c>
      <c r="AA15" s="1">
        <v>144920</v>
      </c>
      <c r="AB15" s="1">
        <v>1015</v>
      </c>
      <c r="AC15" s="1">
        <v>269341</v>
      </c>
      <c r="AD15" s="1">
        <v>-338</v>
      </c>
      <c r="AE15" s="1">
        <f t="shared" si="0"/>
        <v>5183022</v>
      </c>
      <c r="AF15" s="9">
        <f t="shared" si="1"/>
        <v>7.664119504026802E-2</v>
      </c>
      <c r="AG15" s="9">
        <f t="shared" si="2"/>
        <v>0</v>
      </c>
      <c r="AH15" s="9">
        <f t="shared" si="3"/>
        <v>8.8064453517658226E-3</v>
      </c>
      <c r="AI15" s="9">
        <f t="shared" si="4"/>
        <v>4.2131019316530009E-2</v>
      </c>
      <c r="AJ15" s="1" t="str">
        <f>IF(VLOOKUP(A15,Hospital!A:C,3,FALSE)="H","Hospital","Freestanding")</f>
        <v>Freestanding</v>
      </c>
      <c r="AK15" s="1">
        <v>2024</v>
      </c>
    </row>
    <row r="16" spans="1:39">
      <c r="A16" s="1">
        <v>4004</v>
      </c>
      <c r="B16" s="1" t="s">
        <v>181</v>
      </c>
      <c r="C16" s="1">
        <v>311537</v>
      </c>
      <c r="D16" s="1">
        <v>48405</v>
      </c>
      <c r="E16" s="1">
        <v>108397</v>
      </c>
      <c r="F16" s="1">
        <v>65414</v>
      </c>
      <c r="G16" s="1">
        <v>266918</v>
      </c>
      <c r="H16" s="1">
        <v>429545</v>
      </c>
      <c r="I16" s="1">
        <v>586154</v>
      </c>
      <c r="J16" s="1">
        <v>1068077</v>
      </c>
      <c r="K16" s="1">
        <v>430172</v>
      </c>
      <c r="L16" s="1">
        <v>10478</v>
      </c>
      <c r="M16" s="1">
        <v>0</v>
      </c>
      <c r="N16" s="1">
        <v>96636</v>
      </c>
      <c r="O16" s="1">
        <v>119562</v>
      </c>
      <c r="P16" s="1">
        <v>0</v>
      </c>
      <c r="Q16" s="1">
        <v>0</v>
      </c>
      <c r="R16" s="1">
        <v>21804</v>
      </c>
      <c r="S16" s="1">
        <v>0</v>
      </c>
      <c r="T16" s="1">
        <v>0</v>
      </c>
      <c r="U16" s="1">
        <v>373329</v>
      </c>
      <c r="V16" s="1">
        <v>-431</v>
      </c>
      <c r="W16" s="1">
        <v>77302</v>
      </c>
      <c r="X16" s="1">
        <v>1540</v>
      </c>
      <c r="Y16" s="1">
        <v>101015</v>
      </c>
      <c r="Z16" s="1">
        <v>383</v>
      </c>
      <c r="AA16" s="1">
        <v>185937</v>
      </c>
      <c r="AB16" s="1">
        <v>-142</v>
      </c>
      <c r="AC16" s="1">
        <v>389692</v>
      </c>
      <c r="AD16" s="1">
        <v>5613</v>
      </c>
      <c r="AE16" s="1">
        <f t="shared" si="0"/>
        <v>4163584</v>
      </c>
      <c r="AF16" s="9">
        <f t="shared" si="1"/>
        <v>7.4824237964215445E-2</v>
      </c>
      <c r="AG16" s="9">
        <f t="shared" si="2"/>
        <v>1.1625801232784063E-2</v>
      </c>
      <c r="AH16" s="9">
        <f t="shared" si="3"/>
        <v>2.6034541395105755E-2</v>
      </c>
      <c r="AI16" s="9">
        <f t="shared" si="4"/>
        <v>1.5710983614117068E-2</v>
      </c>
      <c r="AJ16" s="1" t="str">
        <f>IF(VLOOKUP(A16,Hospital!A:C,3,FALSE)="H","Hospital","Freestanding")</f>
        <v>Freestanding</v>
      </c>
      <c r="AK16" s="1">
        <v>2024</v>
      </c>
    </row>
    <row r="17" spans="1:37">
      <c r="A17" s="1">
        <v>5001</v>
      </c>
      <c r="B17" s="1" t="s">
        <v>182</v>
      </c>
      <c r="C17" s="1">
        <v>262920</v>
      </c>
      <c r="D17" s="1">
        <v>11739</v>
      </c>
      <c r="E17" s="1">
        <v>76599</v>
      </c>
      <c r="F17" s="1">
        <v>15661</v>
      </c>
      <c r="G17" s="1">
        <v>590189</v>
      </c>
      <c r="H17" s="1">
        <v>83725</v>
      </c>
      <c r="I17" s="1">
        <v>325103</v>
      </c>
      <c r="J17" s="1">
        <v>1173367</v>
      </c>
      <c r="K17" s="1">
        <v>131909</v>
      </c>
      <c r="L17" s="1">
        <v>62240</v>
      </c>
      <c r="M17" s="1">
        <v>0</v>
      </c>
      <c r="N17" s="1">
        <v>88761</v>
      </c>
      <c r="O17" s="1">
        <v>133898</v>
      </c>
      <c r="P17" s="1">
        <v>0</v>
      </c>
      <c r="Q17" s="1">
        <v>21471</v>
      </c>
      <c r="R17" s="1">
        <v>0</v>
      </c>
      <c r="S17" s="1">
        <v>0</v>
      </c>
      <c r="T17" s="1">
        <v>0</v>
      </c>
      <c r="U17" s="1">
        <v>247461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95660</v>
      </c>
      <c r="AB17" s="1">
        <v>0</v>
      </c>
      <c r="AC17" s="1">
        <v>296112</v>
      </c>
      <c r="AD17" s="1">
        <v>0</v>
      </c>
      <c r="AE17" s="1">
        <f t="shared" si="0"/>
        <v>3249896</v>
      </c>
      <c r="AF17" s="9">
        <f t="shared" si="1"/>
        <v>8.0901050372073444E-2</v>
      </c>
      <c r="AG17" s="9">
        <f t="shared" si="2"/>
        <v>3.6121155876988062E-3</v>
      </c>
      <c r="AH17" s="9">
        <f t="shared" si="3"/>
        <v>2.3569677306596887E-2</v>
      </c>
      <c r="AI17" s="9">
        <f t="shared" si="4"/>
        <v>4.8189234363191927E-3</v>
      </c>
      <c r="AJ17" s="1" t="str">
        <f>IF(VLOOKUP(A17,Hospital!A:C,3,FALSE)="H","Hospital","Freestanding")</f>
        <v>Freestanding</v>
      </c>
      <c r="AK17" s="1">
        <v>2024</v>
      </c>
    </row>
    <row r="18" spans="1:37">
      <c r="A18" s="1">
        <v>5002</v>
      </c>
      <c r="B18" s="1" t="s">
        <v>183</v>
      </c>
      <c r="C18" s="1">
        <v>698543</v>
      </c>
      <c r="D18" s="1">
        <v>11345</v>
      </c>
      <c r="E18" s="1">
        <v>85846</v>
      </c>
      <c r="F18" s="1">
        <v>194484</v>
      </c>
      <c r="G18" s="1">
        <v>726595</v>
      </c>
      <c r="H18" s="1">
        <v>1313627</v>
      </c>
      <c r="I18" s="1">
        <v>1346749</v>
      </c>
      <c r="J18" s="1">
        <v>3257847</v>
      </c>
      <c r="K18" s="1">
        <v>490420</v>
      </c>
      <c r="L18" s="1">
        <v>158698</v>
      </c>
      <c r="M18" s="1">
        <v>0</v>
      </c>
      <c r="N18" s="1">
        <v>306142</v>
      </c>
      <c r="O18" s="1">
        <v>461262</v>
      </c>
      <c r="P18" s="1">
        <v>142105</v>
      </c>
      <c r="Q18" s="1">
        <v>234008</v>
      </c>
      <c r="R18" s="1">
        <v>45533</v>
      </c>
      <c r="S18" s="1">
        <v>0</v>
      </c>
      <c r="T18" s="1">
        <v>0</v>
      </c>
      <c r="U18" s="1">
        <v>558065</v>
      </c>
      <c r="V18" s="1">
        <v>6481</v>
      </c>
      <c r="W18" s="1">
        <v>142052</v>
      </c>
      <c r="X18" s="1">
        <v>9</v>
      </c>
      <c r="Y18" s="1">
        <v>298438</v>
      </c>
      <c r="Z18" s="1">
        <v>13220</v>
      </c>
      <c r="AA18" s="1">
        <v>85893</v>
      </c>
      <c r="AB18" s="1">
        <v>-6787</v>
      </c>
      <c r="AC18" s="1">
        <v>244350</v>
      </c>
      <c r="AD18" s="1">
        <v>-3364</v>
      </c>
      <c r="AE18" s="1">
        <f t="shared" si="0"/>
        <v>9821343</v>
      </c>
      <c r="AF18" s="9">
        <f t="shared" si="1"/>
        <v>7.1124997874526932E-2</v>
      </c>
      <c r="AG18" s="9">
        <f t="shared" si="2"/>
        <v>1.1551373371238537E-3</v>
      </c>
      <c r="AH18" s="9">
        <f t="shared" si="3"/>
        <v>8.7407597922198616E-3</v>
      </c>
      <c r="AI18" s="9">
        <f t="shared" si="4"/>
        <v>1.9802179803719309E-2</v>
      </c>
      <c r="AJ18" s="1" t="str">
        <f>IF(VLOOKUP(A18,Hospital!A:C,3,FALSE)="H","Hospital","Freestanding")</f>
        <v>Freestanding</v>
      </c>
      <c r="AK18" s="1">
        <v>2024</v>
      </c>
    </row>
    <row r="19" spans="1:37">
      <c r="A19" s="1">
        <v>5003</v>
      </c>
      <c r="B19" s="1" t="s">
        <v>184</v>
      </c>
      <c r="C19" s="1">
        <v>609646</v>
      </c>
      <c r="D19" s="1">
        <v>15075</v>
      </c>
      <c r="E19" s="1">
        <v>159404</v>
      </c>
      <c r="F19" s="1">
        <v>133703</v>
      </c>
      <c r="G19" s="1">
        <v>364165</v>
      </c>
      <c r="H19" s="1">
        <v>1165146</v>
      </c>
      <c r="I19" s="1">
        <v>1169322</v>
      </c>
      <c r="J19" s="1">
        <v>3011619</v>
      </c>
      <c r="K19" s="1">
        <v>285025</v>
      </c>
      <c r="L19" s="1">
        <v>213104</v>
      </c>
      <c r="M19" s="1">
        <v>0</v>
      </c>
      <c r="N19" s="1">
        <v>183620</v>
      </c>
      <c r="O19" s="1">
        <v>45800</v>
      </c>
      <c r="P19" s="1">
        <v>73293</v>
      </c>
      <c r="Q19" s="1">
        <v>44362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60565</v>
      </c>
      <c r="X19" s="1">
        <v>0</v>
      </c>
      <c r="Y19" s="1">
        <v>393706</v>
      </c>
      <c r="Z19" s="1">
        <v>0</v>
      </c>
      <c r="AA19" s="1">
        <v>221588</v>
      </c>
      <c r="AB19" s="1">
        <v>0</v>
      </c>
      <c r="AC19" s="1">
        <v>1029613</v>
      </c>
      <c r="AD19" s="1">
        <v>0</v>
      </c>
      <c r="AE19" s="1">
        <f t="shared" si="0"/>
        <v>8260928</v>
      </c>
      <c r="AF19" s="9">
        <f t="shared" si="1"/>
        <v>7.3798730602663523E-2</v>
      </c>
      <c r="AG19" s="9">
        <f t="shared" si="2"/>
        <v>1.8248555126010057E-3</v>
      </c>
      <c r="AH19" s="9">
        <f t="shared" si="3"/>
        <v>1.9296137189429564E-2</v>
      </c>
      <c r="AI19" s="9">
        <f t="shared" si="4"/>
        <v>1.6184985512523533E-2</v>
      </c>
      <c r="AJ19" s="1" t="str">
        <f>IF(VLOOKUP(A19,Hospital!A:C,3,FALSE)="H","Hospital","Freestanding")</f>
        <v>Freestanding</v>
      </c>
      <c r="AK19" s="1">
        <v>2024</v>
      </c>
    </row>
    <row r="20" spans="1:37">
      <c r="A20" s="1">
        <v>6001</v>
      </c>
      <c r="B20" s="1" t="s">
        <v>185</v>
      </c>
      <c r="C20" s="1">
        <v>0</v>
      </c>
      <c r="D20" s="1">
        <v>0</v>
      </c>
      <c r="E20" s="1">
        <v>0</v>
      </c>
      <c r="F20" s="1">
        <v>0</v>
      </c>
      <c r="G20" s="1">
        <v>227368</v>
      </c>
      <c r="H20" s="1">
        <v>338392</v>
      </c>
      <c r="I20" s="1">
        <v>169678</v>
      </c>
      <c r="J20" s="1">
        <v>406480</v>
      </c>
      <c r="K20" s="1">
        <v>12130</v>
      </c>
      <c r="L20" s="1">
        <v>42673</v>
      </c>
      <c r="M20" s="1">
        <v>0</v>
      </c>
      <c r="N20" s="1">
        <v>47010</v>
      </c>
      <c r="O20" s="1">
        <v>52029</v>
      </c>
      <c r="P20" s="1">
        <v>4363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f t="shared" si="0"/>
        <v>1300123</v>
      </c>
      <c r="AF20" s="9">
        <f t="shared" si="1"/>
        <v>0</v>
      </c>
      <c r="AG20" s="9">
        <f t="shared" si="2"/>
        <v>0</v>
      </c>
      <c r="AH20" s="9">
        <f t="shared" si="3"/>
        <v>0</v>
      </c>
      <c r="AI20" s="9">
        <f t="shared" si="4"/>
        <v>0</v>
      </c>
      <c r="AJ20" s="1" t="str">
        <f>IF(VLOOKUP(A20,Hospital!A:C,3,FALSE)="H","Hospital","Freestanding")</f>
        <v>Hospital</v>
      </c>
      <c r="AK20" s="1">
        <v>2024</v>
      </c>
    </row>
    <row r="21" spans="1:37">
      <c r="A21" s="1">
        <v>6003</v>
      </c>
      <c r="B21" s="1" t="s">
        <v>186</v>
      </c>
      <c r="C21" s="1">
        <v>0</v>
      </c>
      <c r="D21" s="1">
        <v>0</v>
      </c>
      <c r="E21" s="1">
        <v>0</v>
      </c>
      <c r="F21" s="1">
        <v>0</v>
      </c>
      <c r="G21" s="1">
        <v>109091</v>
      </c>
      <c r="H21" s="1">
        <v>767159</v>
      </c>
      <c r="I21" s="1">
        <v>270865</v>
      </c>
      <c r="J21" s="1">
        <v>1432190</v>
      </c>
      <c r="K21" s="1">
        <v>0</v>
      </c>
      <c r="L21" s="1">
        <v>22296</v>
      </c>
      <c r="M21" s="1">
        <v>0</v>
      </c>
      <c r="N21" s="1">
        <v>55806</v>
      </c>
      <c r="O21" s="1">
        <v>128247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f t="shared" si="0"/>
        <v>2785654</v>
      </c>
      <c r="AF21" s="9">
        <f t="shared" si="1"/>
        <v>0</v>
      </c>
      <c r="AG21" s="9">
        <f t="shared" si="2"/>
        <v>0</v>
      </c>
      <c r="AH21" s="9">
        <f t="shared" si="3"/>
        <v>0</v>
      </c>
      <c r="AI21" s="9">
        <f t="shared" si="4"/>
        <v>0</v>
      </c>
      <c r="AJ21" s="1" t="str">
        <f>IF(VLOOKUP(A21,Hospital!A:C,3,FALSE)="H","Hospital","Freestanding")</f>
        <v>Hospital</v>
      </c>
      <c r="AK21" s="1">
        <v>2024</v>
      </c>
    </row>
    <row r="22" spans="1:37">
      <c r="A22" s="1">
        <v>7001</v>
      </c>
      <c r="B22" s="1" t="s">
        <v>187</v>
      </c>
      <c r="C22" s="1">
        <v>400045</v>
      </c>
      <c r="D22" s="1">
        <v>21140</v>
      </c>
      <c r="E22" s="1">
        <v>20470</v>
      </c>
      <c r="F22" s="1">
        <v>134210</v>
      </c>
      <c r="G22" s="1">
        <v>347000</v>
      </c>
      <c r="H22" s="1">
        <v>976497</v>
      </c>
      <c r="I22" s="1">
        <v>545256</v>
      </c>
      <c r="J22" s="1">
        <v>1363412</v>
      </c>
      <c r="K22" s="1">
        <v>81246</v>
      </c>
      <c r="L22" s="1">
        <v>209761</v>
      </c>
      <c r="M22" s="1">
        <v>0</v>
      </c>
      <c r="N22" s="1">
        <v>106382</v>
      </c>
      <c r="O22" s="1">
        <v>200701</v>
      </c>
      <c r="P22" s="1">
        <v>34</v>
      </c>
      <c r="Q22" s="1">
        <v>0</v>
      </c>
      <c r="R22" s="1">
        <v>-28652</v>
      </c>
      <c r="S22" s="1">
        <v>0</v>
      </c>
      <c r="T22" s="1">
        <v>0</v>
      </c>
      <c r="U22" s="1">
        <v>557826</v>
      </c>
      <c r="V22" s="1">
        <v>1957</v>
      </c>
      <c r="W22" s="1">
        <v>53371</v>
      </c>
      <c r="X22" s="1">
        <v>460</v>
      </c>
      <c r="Y22" s="1">
        <v>47925</v>
      </c>
      <c r="Z22" s="1">
        <v>99</v>
      </c>
      <c r="AA22" s="1">
        <v>164539</v>
      </c>
      <c r="AB22" s="1">
        <v>2163</v>
      </c>
      <c r="AC22" s="1">
        <v>650811</v>
      </c>
      <c r="AD22" s="1">
        <v>821</v>
      </c>
      <c r="AE22" s="1">
        <f t="shared" si="0"/>
        <v>5281609</v>
      </c>
      <c r="AF22" s="9">
        <f t="shared" si="1"/>
        <v>7.5743016948055034E-2</v>
      </c>
      <c r="AG22" s="9">
        <f t="shared" si="2"/>
        <v>4.0025681567870701E-3</v>
      </c>
      <c r="AH22" s="9">
        <f t="shared" si="3"/>
        <v>3.8757128746183217E-3</v>
      </c>
      <c r="AI22" s="9">
        <f t="shared" si="4"/>
        <v>2.5410817044578649E-2</v>
      </c>
      <c r="AJ22" s="1" t="str">
        <f>IF(VLOOKUP(A22,Hospital!A:C,3,FALSE)="H","Hospital","Freestanding")</f>
        <v>Freestanding</v>
      </c>
      <c r="AK22" s="1">
        <v>2024</v>
      </c>
    </row>
    <row r="23" spans="1:37">
      <c r="A23" s="1">
        <v>7002</v>
      </c>
      <c r="B23" s="1" t="s">
        <v>188</v>
      </c>
      <c r="C23" s="1">
        <v>264007</v>
      </c>
      <c r="D23" s="1">
        <v>12663</v>
      </c>
      <c r="E23" s="1">
        <v>38143</v>
      </c>
      <c r="F23" s="1">
        <v>21999</v>
      </c>
      <c r="G23" s="1">
        <v>358930</v>
      </c>
      <c r="H23" s="1">
        <v>643417</v>
      </c>
      <c r="I23" s="1">
        <v>262528</v>
      </c>
      <c r="J23" s="1">
        <v>899793</v>
      </c>
      <c r="K23" s="1">
        <v>188167</v>
      </c>
      <c r="L23" s="1">
        <v>88179</v>
      </c>
      <c r="M23" s="1">
        <v>0</v>
      </c>
      <c r="N23" s="1">
        <v>63039</v>
      </c>
      <c r="O23" s="1">
        <v>122418</v>
      </c>
      <c r="P23" s="1">
        <v>0</v>
      </c>
      <c r="Q23" s="1">
        <v>81223</v>
      </c>
      <c r="R23" s="1">
        <v>0</v>
      </c>
      <c r="S23" s="1">
        <v>0</v>
      </c>
      <c r="T23" s="1">
        <v>0</v>
      </c>
      <c r="U23" s="1">
        <v>365017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81776</v>
      </c>
      <c r="AB23" s="1">
        <v>0</v>
      </c>
      <c r="AC23" s="1">
        <v>311233</v>
      </c>
      <c r="AD23" s="1">
        <v>0</v>
      </c>
      <c r="AE23" s="1">
        <f t="shared" si="0"/>
        <v>3465720</v>
      </c>
      <c r="AF23" s="9">
        <f t="shared" si="1"/>
        <v>7.6176667474579601E-2</v>
      </c>
      <c r="AG23" s="9">
        <f t="shared" si="2"/>
        <v>3.6537862262387036E-3</v>
      </c>
      <c r="AH23" s="9">
        <f t="shared" si="3"/>
        <v>1.1005793889869926E-2</v>
      </c>
      <c r="AI23" s="9">
        <f t="shared" si="4"/>
        <v>6.347598767355701E-3</v>
      </c>
      <c r="AJ23" s="1" t="str">
        <f>IF(VLOOKUP(A23,Hospital!A:C,3,FALSE)="H","Hospital","Freestanding")</f>
        <v>Freestanding</v>
      </c>
      <c r="AK23" s="1">
        <v>2024</v>
      </c>
    </row>
    <row r="24" spans="1:37">
      <c r="A24" s="1">
        <v>7003</v>
      </c>
      <c r="B24" s="1" t="s">
        <v>189</v>
      </c>
      <c r="C24" s="1">
        <v>239869</v>
      </c>
      <c r="D24" s="1">
        <v>0</v>
      </c>
      <c r="E24" s="1">
        <v>56279</v>
      </c>
      <c r="F24" s="1">
        <v>120300</v>
      </c>
      <c r="G24" s="1">
        <v>209140</v>
      </c>
      <c r="H24" s="1">
        <v>117318</v>
      </c>
      <c r="I24" s="1">
        <v>343354</v>
      </c>
      <c r="J24" s="1">
        <v>813092</v>
      </c>
      <c r="K24" s="1">
        <v>381701</v>
      </c>
      <c r="L24" s="1">
        <v>101513</v>
      </c>
      <c r="M24" s="1">
        <v>0</v>
      </c>
      <c r="N24" s="1">
        <v>57494</v>
      </c>
      <c r="O24" s="1">
        <v>145753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400337</v>
      </c>
      <c r="V24" s="1">
        <v>0</v>
      </c>
      <c r="W24" s="1">
        <v>55666</v>
      </c>
      <c r="X24" s="1">
        <v>0</v>
      </c>
      <c r="Y24" s="1">
        <v>94508</v>
      </c>
      <c r="Z24" s="1">
        <v>0</v>
      </c>
      <c r="AA24" s="1">
        <v>117498</v>
      </c>
      <c r="AB24" s="1">
        <v>0</v>
      </c>
      <c r="AC24" s="1">
        <v>354985</v>
      </c>
      <c r="AD24" s="1">
        <v>0</v>
      </c>
      <c r="AE24" s="1">
        <f t="shared" si="0"/>
        <v>3192359</v>
      </c>
      <c r="AF24" s="9">
        <f t="shared" si="1"/>
        <v>7.513847909962508E-2</v>
      </c>
      <c r="AG24" s="9">
        <f t="shared" si="2"/>
        <v>0</v>
      </c>
      <c r="AH24" s="9">
        <f t="shared" si="3"/>
        <v>1.7629282922127492E-2</v>
      </c>
      <c r="AI24" s="9">
        <f t="shared" si="4"/>
        <v>3.7683731685565436E-2</v>
      </c>
      <c r="AJ24" s="1" t="str">
        <f>IF(VLOOKUP(A24,Hospital!A:C,3,FALSE)="H","Hospital","Freestanding")</f>
        <v>Freestanding</v>
      </c>
      <c r="AK24" s="1">
        <v>2024</v>
      </c>
    </row>
    <row r="25" spans="1:37">
      <c r="A25" s="1">
        <v>7004</v>
      </c>
      <c r="B25" s="1" t="s">
        <v>190</v>
      </c>
      <c r="C25" s="1">
        <v>249690</v>
      </c>
      <c r="D25" s="1">
        <v>24221</v>
      </c>
      <c r="E25" s="1">
        <v>21499</v>
      </c>
      <c r="F25" s="1">
        <v>7080</v>
      </c>
      <c r="G25" s="1">
        <v>398567</v>
      </c>
      <c r="H25" s="1">
        <v>754358</v>
      </c>
      <c r="I25" s="1">
        <v>91537</v>
      </c>
      <c r="J25" s="1">
        <v>947659</v>
      </c>
      <c r="K25" s="1">
        <v>177321</v>
      </c>
      <c r="L25" s="1">
        <v>99419</v>
      </c>
      <c r="M25" s="1">
        <v>0</v>
      </c>
      <c r="N25" s="1">
        <v>59804</v>
      </c>
      <c r="O25" s="1">
        <v>113143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307066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55903</v>
      </c>
      <c r="AB25" s="1">
        <v>0</v>
      </c>
      <c r="AC25" s="1">
        <v>239935</v>
      </c>
      <c r="AD25" s="1">
        <v>0</v>
      </c>
      <c r="AE25" s="1">
        <f t="shared" si="0"/>
        <v>3244712</v>
      </c>
      <c r="AF25" s="9">
        <f t="shared" si="1"/>
        <v>7.6952900596416574E-2</v>
      </c>
      <c r="AG25" s="9">
        <f t="shared" si="2"/>
        <v>7.4647611251784443E-3</v>
      </c>
      <c r="AH25" s="9">
        <f t="shared" si="3"/>
        <v>6.6258577032414587E-3</v>
      </c>
      <c r="AI25" s="9">
        <f t="shared" si="4"/>
        <v>2.1820118395715861E-3</v>
      </c>
      <c r="AJ25" s="1" t="str">
        <f>IF(VLOOKUP(A25,Hospital!A:C,3,FALSE)="H","Hospital","Freestanding")</f>
        <v>Freestanding</v>
      </c>
      <c r="AK25" s="1">
        <v>2024</v>
      </c>
    </row>
    <row r="26" spans="1:37">
      <c r="A26" s="1">
        <v>7005</v>
      </c>
      <c r="B26" s="1" t="s">
        <v>191</v>
      </c>
      <c r="C26" s="1">
        <v>236324</v>
      </c>
      <c r="D26" s="1">
        <v>21735</v>
      </c>
      <c r="E26" s="1">
        <v>39693</v>
      </c>
      <c r="F26" s="1">
        <v>2982</v>
      </c>
      <c r="G26" s="1">
        <v>575486</v>
      </c>
      <c r="H26" s="1">
        <v>254257</v>
      </c>
      <c r="I26" s="1">
        <v>312265</v>
      </c>
      <c r="J26" s="1">
        <v>809016</v>
      </c>
      <c r="K26" s="1">
        <v>262856</v>
      </c>
      <c r="L26" s="1">
        <v>78563</v>
      </c>
      <c r="M26" s="1">
        <v>0</v>
      </c>
      <c r="N26" s="1">
        <v>47208</v>
      </c>
      <c r="O26" s="1">
        <v>134316</v>
      </c>
      <c r="P26" s="1">
        <v>0</v>
      </c>
      <c r="Q26" s="1">
        <v>42544</v>
      </c>
      <c r="R26" s="1">
        <v>0</v>
      </c>
      <c r="S26" s="1">
        <v>0</v>
      </c>
      <c r="T26" s="1">
        <v>0</v>
      </c>
      <c r="U26" s="1">
        <v>266114</v>
      </c>
      <c r="V26" s="1">
        <v>0</v>
      </c>
      <c r="W26" s="1">
        <v>29829</v>
      </c>
      <c r="X26" s="1">
        <v>0</v>
      </c>
      <c r="Y26" s="1">
        <v>0</v>
      </c>
      <c r="Z26" s="1">
        <v>0</v>
      </c>
      <c r="AA26" s="1">
        <v>82434</v>
      </c>
      <c r="AB26" s="1">
        <v>0</v>
      </c>
      <c r="AC26" s="1">
        <v>316463</v>
      </c>
      <c r="AD26" s="1">
        <v>0</v>
      </c>
      <c r="AE26" s="1">
        <f t="shared" si="0"/>
        <v>3211351</v>
      </c>
      <c r="AF26" s="9">
        <f t="shared" si="1"/>
        <v>7.3590211720861401E-2</v>
      </c>
      <c r="AG26" s="9">
        <f t="shared" si="2"/>
        <v>6.7681794982859238E-3</v>
      </c>
      <c r="AH26" s="9">
        <f t="shared" si="3"/>
        <v>1.2360218487483927E-2</v>
      </c>
      <c r="AI26" s="9">
        <f t="shared" si="4"/>
        <v>9.2858114855710265E-4</v>
      </c>
      <c r="AJ26" s="1" t="str">
        <f>IF(VLOOKUP(A26,Hospital!A:C,3,FALSE)="H","Hospital","Freestanding")</f>
        <v>Freestanding</v>
      </c>
      <c r="AK26" s="1">
        <v>2024</v>
      </c>
    </row>
    <row r="27" spans="1:37">
      <c r="A27" s="1">
        <v>8001</v>
      </c>
      <c r="B27" s="1" t="s">
        <v>192</v>
      </c>
      <c r="C27" s="1">
        <v>460216</v>
      </c>
      <c r="D27" s="1">
        <v>3400</v>
      </c>
      <c r="E27" s="1">
        <v>84637</v>
      </c>
      <c r="F27" s="1">
        <v>86963</v>
      </c>
      <c r="G27" s="1">
        <v>346646</v>
      </c>
      <c r="H27" s="1">
        <v>794300</v>
      </c>
      <c r="I27" s="1">
        <v>369327</v>
      </c>
      <c r="J27" s="1">
        <v>1670943</v>
      </c>
      <c r="K27" s="1">
        <v>515706</v>
      </c>
      <c r="L27" s="1">
        <v>145345</v>
      </c>
      <c r="M27" s="1">
        <v>0</v>
      </c>
      <c r="N27" s="1">
        <v>138653</v>
      </c>
      <c r="O27" s="1">
        <v>233347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496603</v>
      </c>
      <c r="V27" s="1">
        <v>0</v>
      </c>
      <c r="W27" s="1">
        <v>46638</v>
      </c>
      <c r="X27" s="1">
        <v>0</v>
      </c>
      <c r="Y27" s="1">
        <v>192309</v>
      </c>
      <c r="Z27" s="1">
        <v>0</v>
      </c>
      <c r="AA27" s="1">
        <v>130277</v>
      </c>
      <c r="AB27" s="1">
        <v>0</v>
      </c>
      <c r="AC27" s="1">
        <v>522014</v>
      </c>
      <c r="AD27" s="1">
        <v>0</v>
      </c>
      <c r="AE27" s="1">
        <f t="shared" si="0"/>
        <v>5602108</v>
      </c>
      <c r="AF27" s="9">
        <f t="shared" si="1"/>
        <v>8.2150504774274255E-2</v>
      </c>
      <c r="AG27" s="9">
        <f t="shared" si="2"/>
        <v>6.069143972233309E-4</v>
      </c>
      <c r="AH27" s="9">
        <f t="shared" si="3"/>
        <v>1.510806289346796E-2</v>
      </c>
      <c r="AI27" s="9">
        <f t="shared" si="4"/>
        <v>1.5523263742862508E-2</v>
      </c>
      <c r="AJ27" s="1" t="str">
        <f>IF(VLOOKUP(A27,Hospital!A:C,3,FALSE)="H","Hospital","Freestanding")</f>
        <v>Freestanding</v>
      </c>
      <c r="AK27" s="1">
        <v>2024</v>
      </c>
    </row>
    <row r="28" spans="1:37">
      <c r="A28" s="1">
        <v>8002</v>
      </c>
      <c r="B28" s="1" t="s">
        <v>193</v>
      </c>
      <c r="C28" s="1">
        <v>207709</v>
      </c>
      <c r="D28" s="1">
        <v>0</v>
      </c>
      <c r="E28" s="1">
        <v>182162</v>
      </c>
      <c r="F28" s="1">
        <v>28818</v>
      </c>
      <c r="G28" s="1">
        <v>192565</v>
      </c>
      <c r="H28" s="1">
        <v>327579</v>
      </c>
      <c r="I28" s="1">
        <v>156424</v>
      </c>
      <c r="J28" s="1">
        <v>508298</v>
      </c>
      <c r="K28" s="1">
        <v>284202</v>
      </c>
      <c r="L28" s="1">
        <v>113631</v>
      </c>
      <c r="M28" s="1">
        <v>0</v>
      </c>
      <c r="N28" s="1">
        <v>54332</v>
      </c>
      <c r="O28" s="1">
        <v>188316</v>
      </c>
      <c r="P28" s="1">
        <v>64304</v>
      </c>
      <c r="Q28" s="1">
        <v>51685</v>
      </c>
      <c r="R28" s="1">
        <v>-1328</v>
      </c>
      <c r="S28" s="1">
        <v>0</v>
      </c>
      <c r="T28" s="1">
        <v>0</v>
      </c>
      <c r="U28" s="1">
        <v>314732</v>
      </c>
      <c r="V28" s="1">
        <v>1998</v>
      </c>
      <c r="W28" s="1">
        <v>79110</v>
      </c>
      <c r="X28" s="1">
        <v>-78</v>
      </c>
      <c r="Y28" s="1">
        <v>133848</v>
      </c>
      <c r="Z28" s="1">
        <v>878</v>
      </c>
      <c r="AA28" s="1">
        <v>115036</v>
      </c>
      <c r="AB28" s="1">
        <v>2763</v>
      </c>
      <c r="AC28" s="1">
        <v>229683</v>
      </c>
      <c r="AD28" s="1">
        <v>1860</v>
      </c>
      <c r="AE28" s="1">
        <f t="shared" si="0"/>
        <v>2819838</v>
      </c>
      <c r="AF28" s="9">
        <f t="shared" si="1"/>
        <v>7.3659905285339083E-2</v>
      </c>
      <c r="AG28" s="9">
        <f t="shared" si="2"/>
        <v>0</v>
      </c>
      <c r="AH28" s="9">
        <f t="shared" si="3"/>
        <v>6.4600164974016244E-2</v>
      </c>
      <c r="AI28" s="9">
        <f t="shared" si="4"/>
        <v>1.0219736027388807E-2</v>
      </c>
      <c r="AJ28" s="1" t="str">
        <f>IF(VLOOKUP(A28,Hospital!A:C,3,FALSE)="H","Hospital","Freestanding")</f>
        <v>Freestanding</v>
      </c>
      <c r="AK28" s="1">
        <v>2024</v>
      </c>
    </row>
    <row r="29" spans="1:37">
      <c r="A29" s="1">
        <v>8003</v>
      </c>
      <c r="B29" s="1" t="s">
        <v>194</v>
      </c>
      <c r="C29" s="1">
        <v>208156</v>
      </c>
      <c r="D29" s="1">
        <v>2221</v>
      </c>
      <c r="E29" s="1">
        <v>69116</v>
      </c>
      <c r="F29" s="1">
        <v>93745</v>
      </c>
      <c r="G29" s="1">
        <v>208041</v>
      </c>
      <c r="H29" s="1">
        <v>290975</v>
      </c>
      <c r="I29" s="1">
        <v>377027</v>
      </c>
      <c r="J29" s="1">
        <v>868406</v>
      </c>
      <c r="K29" s="1">
        <v>74876</v>
      </c>
      <c r="L29" s="1">
        <v>38179</v>
      </c>
      <c r="M29" s="1">
        <v>0</v>
      </c>
      <c r="N29" s="1">
        <v>70237</v>
      </c>
      <c r="O29" s="1">
        <v>147241</v>
      </c>
      <c r="P29" s="1">
        <v>17472</v>
      </c>
      <c r="Q29" s="1">
        <v>28894</v>
      </c>
      <c r="R29" s="1">
        <v>0</v>
      </c>
      <c r="S29" s="1">
        <v>0</v>
      </c>
      <c r="T29" s="1">
        <v>0</v>
      </c>
      <c r="U29" s="1">
        <v>309099</v>
      </c>
      <c r="V29" s="1">
        <v>0</v>
      </c>
      <c r="W29" s="1">
        <v>49003</v>
      </c>
      <c r="X29" s="1">
        <v>0</v>
      </c>
      <c r="Y29" s="1">
        <v>163231</v>
      </c>
      <c r="Z29" s="1">
        <v>0</v>
      </c>
      <c r="AA29" s="1">
        <v>142804</v>
      </c>
      <c r="AB29" s="1">
        <v>0</v>
      </c>
      <c r="AC29" s="1">
        <v>178550</v>
      </c>
      <c r="AD29" s="1">
        <v>0</v>
      </c>
      <c r="AE29" s="1">
        <f t="shared" si="0"/>
        <v>2964035</v>
      </c>
      <c r="AF29" s="9">
        <f t="shared" si="1"/>
        <v>7.0227240906399549E-2</v>
      </c>
      <c r="AG29" s="9">
        <f t="shared" si="2"/>
        <v>7.4931638796437968E-4</v>
      </c>
      <c r="AH29" s="9">
        <f t="shared" si="3"/>
        <v>2.3318213178994174E-2</v>
      </c>
      <c r="AI29" s="9">
        <f t="shared" si="4"/>
        <v>3.1627494277226824E-2</v>
      </c>
      <c r="AJ29" s="1" t="str">
        <f>IF(VLOOKUP(A29,Hospital!A:C,3,FALSE)="H","Hospital","Freestanding")</f>
        <v>Freestanding</v>
      </c>
      <c r="AK29" s="1">
        <v>2024</v>
      </c>
    </row>
    <row r="30" spans="1:37">
      <c r="A30" s="1">
        <v>8004</v>
      </c>
      <c r="B30" s="1" t="s">
        <v>195</v>
      </c>
      <c r="C30" s="1">
        <v>211280</v>
      </c>
      <c r="D30" s="1">
        <v>21650</v>
      </c>
      <c r="E30" s="1">
        <v>32254</v>
      </c>
      <c r="F30" s="1">
        <v>9315</v>
      </c>
      <c r="G30" s="1">
        <v>351205</v>
      </c>
      <c r="H30" s="1">
        <v>343169</v>
      </c>
      <c r="I30" s="1">
        <v>127420</v>
      </c>
      <c r="J30" s="1">
        <v>947296</v>
      </c>
      <c r="K30" s="1">
        <v>96814</v>
      </c>
      <c r="L30" s="1">
        <v>50194</v>
      </c>
      <c r="M30" s="1">
        <v>0</v>
      </c>
      <c r="N30" s="1">
        <v>65859</v>
      </c>
      <c r="O30" s="1">
        <v>116353</v>
      </c>
      <c r="P30" s="1">
        <v>0</v>
      </c>
      <c r="Q30" s="1">
        <v>0</v>
      </c>
      <c r="R30" s="1">
        <v>7225</v>
      </c>
      <c r="S30" s="1">
        <v>0</v>
      </c>
      <c r="T30" s="1">
        <v>0</v>
      </c>
      <c r="U30" s="1">
        <v>268973</v>
      </c>
      <c r="V30" s="1">
        <v>1005</v>
      </c>
      <c r="W30" s="1">
        <v>60072</v>
      </c>
      <c r="X30" s="1">
        <v>408</v>
      </c>
      <c r="Y30" s="1">
        <v>51874</v>
      </c>
      <c r="Z30" s="1">
        <v>-290</v>
      </c>
      <c r="AA30" s="1">
        <v>99344</v>
      </c>
      <c r="AB30" s="1">
        <v>-1023</v>
      </c>
      <c r="AC30" s="1">
        <v>255943</v>
      </c>
      <c r="AD30" s="1">
        <v>-486</v>
      </c>
      <c r="AE30" s="1">
        <f t="shared" si="0"/>
        <v>2841355</v>
      </c>
      <c r="AF30" s="9">
        <f t="shared" si="1"/>
        <v>7.4358888628840811E-2</v>
      </c>
      <c r="AG30" s="9">
        <f t="shared" si="2"/>
        <v>7.6196040269519297E-3</v>
      </c>
      <c r="AH30" s="9">
        <f t="shared" si="3"/>
        <v>1.1351626248743998E-2</v>
      </c>
      <c r="AI30" s="9">
        <f t="shared" si="4"/>
        <v>3.2783654277624584E-3</v>
      </c>
      <c r="AJ30" s="1" t="str">
        <f>IF(VLOOKUP(A30,Hospital!A:C,3,FALSE)="H","Hospital","Freestanding")</f>
        <v>Freestanding</v>
      </c>
      <c r="AK30" s="1">
        <v>2024</v>
      </c>
    </row>
    <row r="31" spans="1:37">
      <c r="A31" s="1">
        <v>9003</v>
      </c>
      <c r="B31" s="1" t="s">
        <v>196</v>
      </c>
      <c r="C31" s="1">
        <v>292707</v>
      </c>
      <c r="D31" s="1">
        <v>6</v>
      </c>
      <c r="E31" s="1">
        <v>46027</v>
      </c>
      <c r="F31" s="1">
        <v>42471</v>
      </c>
      <c r="G31" s="1">
        <v>286588</v>
      </c>
      <c r="H31" s="1">
        <v>572066</v>
      </c>
      <c r="I31" s="1">
        <v>311324</v>
      </c>
      <c r="J31" s="1">
        <v>1147292</v>
      </c>
      <c r="K31" s="1">
        <v>449377</v>
      </c>
      <c r="L31" s="1">
        <v>125379</v>
      </c>
      <c r="M31" s="1">
        <v>0</v>
      </c>
      <c r="N31" s="1">
        <v>51951</v>
      </c>
      <c r="O31" s="1">
        <v>130929</v>
      </c>
      <c r="P31" s="1">
        <v>60181</v>
      </c>
      <c r="Q31" s="1">
        <v>0</v>
      </c>
      <c r="R31" s="1">
        <v>0</v>
      </c>
      <c r="S31" s="1">
        <v>0</v>
      </c>
      <c r="T31" s="1">
        <v>0</v>
      </c>
      <c r="U31" s="1">
        <v>271443</v>
      </c>
      <c r="V31" s="1">
        <v>0</v>
      </c>
      <c r="W31" s="1">
        <v>29568</v>
      </c>
      <c r="X31" s="1">
        <v>0</v>
      </c>
      <c r="Y31" s="1">
        <v>91043</v>
      </c>
      <c r="Z31" s="1">
        <v>0</v>
      </c>
      <c r="AA31" s="1">
        <v>104479</v>
      </c>
      <c r="AB31" s="1">
        <v>0</v>
      </c>
      <c r="AC31" s="1">
        <v>292412</v>
      </c>
      <c r="AD31" s="1">
        <v>0</v>
      </c>
      <c r="AE31" s="1">
        <f t="shared" si="0"/>
        <v>3924032</v>
      </c>
      <c r="AF31" s="9">
        <f t="shared" si="1"/>
        <v>7.4593428392021266E-2</v>
      </c>
      <c r="AG31" s="9">
        <f t="shared" si="2"/>
        <v>1.5290395185360364E-6</v>
      </c>
      <c r="AH31" s="9">
        <f t="shared" si="3"/>
        <v>1.1729516986609692E-2</v>
      </c>
      <c r="AI31" s="9">
        <f t="shared" si="4"/>
        <v>1.0823306231957333E-2</v>
      </c>
      <c r="AJ31" s="1" t="str">
        <f>IF(VLOOKUP(A31,Hospital!A:C,3,FALSE)="H","Hospital","Freestanding")</f>
        <v>Freestanding</v>
      </c>
      <c r="AK31" s="1">
        <v>2024</v>
      </c>
    </row>
    <row r="32" spans="1:37">
      <c r="A32" s="1">
        <v>9004</v>
      </c>
      <c r="B32" s="1" t="s">
        <v>197</v>
      </c>
      <c r="C32" s="1">
        <v>366748</v>
      </c>
      <c r="D32" s="1">
        <v>0</v>
      </c>
      <c r="E32" s="1">
        <v>194379</v>
      </c>
      <c r="F32" s="1">
        <v>148408</v>
      </c>
      <c r="G32" s="1">
        <v>448826</v>
      </c>
      <c r="H32" s="1">
        <v>478883</v>
      </c>
      <c r="I32" s="1">
        <v>694278</v>
      </c>
      <c r="J32" s="1">
        <v>1455868</v>
      </c>
      <c r="K32" s="1">
        <v>359173</v>
      </c>
      <c r="L32" s="1">
        <v>110175</v>
      </c>
      <c r="M32" s="1">
        <v>0</v>
      </c>
      <c r="N32" s="1">
        <v>104013</v>
      </c>
      <c r="O32" s="1">
        <v>371018</v>
      </c>
      <c r="P32" s="1">
        <v>0</v>
      </c>
      <c r="Q32" s="1">
        <v>19348</v>
      </c>
      <c r="R32" s="1">
        <v>23799</v>
      </c>
      <c r="S32" s="1">
        <v>0</v>
      </c>
      <c r="T32" s="1">
        <v>0</v>
      </c>
      <c r="U32" s="1">
        <v>378506</v>
      </c>
      <c r="V32" s="1">
        <v>3693</v>
      </c>
      <c r="W32" s="1">
        <v>119724</v>
      </c>
      <c r="X32" s="1">
        <v>0</v>
      </c>
      <c r="Y32" s="1">
        <v>231059</v>
      </c>
      <c r="Z32" s="1">
        <v>5527</v>
      </c>
      <c r="AA32" s="1">
        <v>112424</v>
      </c>
      <c r="AB32" s="1">
        <v>319</v>
      </c>
      <c r="AC32" s="1">
        <v>298713</v>
      </c>
      <c r="AD32" s="1">
        <v>889</v>
      </c>
      <c r="AE32" s="1">
        <f t="shared" si="0"/>
        <v>5216235</v>
      </c>
      <c r="AF32" s="9">
        <f t="shared" si="1"/>
        <v>7.0308948887463849E-2</v>
      </c>
      <c r="AG32" s="9">
        <f t="shared" si="2"/>
        <v>0</v>
      </c>
      <c r="AH32" s="9">
        <f t="shared" si="3"/>
        <v>3.7264233685790613E-2</v>
      </c>
      <c r="AI32" s="9">
        <f t="shared" si="4"/>
        <v>2.8451172157696117E-2</v>
      </c>
      <c r="AJ32" s="1" t="str">
        <f>IF(VLOOKUP(A32,Hospital!A:C,3,FALSE)="H","Hospital","Freestanding")</f>
        <v>Freestanding</v>
      </c>
      <c r="AK32" s="1">
        <v>2024</v>
      </c>
    </row>
    <row r="33" spans="1:37">
      <c r="A33" s="1">
        <v>10001</v>
      </c>
      <c r="B33" s="1" t="s">
        <v>198</v>
      </c>
      <c r="C33" s="1">
        <v>140903</v>
      </c>
      <c r="D33" s="1">
        <v>0</v>
      </c>
      <c r="E33" s="1">
        <v>39958</v>
      </c>
      <c r="F33" s="1">
        <v>23897</v>
      </c>
      <c r="G33" s="1">
        <v>310201</v>
      </c>
      <c r="H33" s="1">
        <v>280123</v>
      </c>
      <c r="I33" s="1">
        <v>255586</v>
      </c>
      <c r="J33" s="1">
        <v>361863</v>
      </c>
      <c r="K33" s="1">
        <v>349624</v>
      </c>
      <c r="L33" s="1">
        <v>56240</v>
      </c>
      <c r="M33" s="1">
        <v>0</v>
      </c>
      <c r="N33" s="1">
        <v>63960</v>
      </c>
      <c r="O33" s="1">
        <v>103830</v>
      </c>
      <c r="P33" s="1">
        <v>18342</v>
      </c>
      <c r="Q33" s="1">
        <v>0</v>
      </c>
      <c r="R33" s="1">
        <v>0</v>
      </c>
      <c r="S33" s="1">
        <v>0</v>
      </c>
      <c r="T33" s="1">
        <v>0</v>
      </c>
      <c r="U33" s="1">
        <v>73044</v>
      </c>
      <c r="V33" s="1">
        <v>0</v>
      </c>
      <c r="W33" s="1">
        <v>0</v>
      </c>
      <c r="X33" s="1">
        <v>0</v>
      </c>
      <c r="Y33" s="1">
        <v>28177</v>
      </c>
      <c r="Z33" s="1">
        <v>0</v>
      </c>
      <c r="AA33" s="1">
        <v>91783</v>
      </c>
      <c r="AB33" s="1">
        <v>0</v>
      </c>
      <c r="AC33" s="1">
        <v>163209</v>
      </c>
      <c r="AD33" s="1">
        <v>0</v>
      </c>
      <c r="AE33" s="1">
        <f t="shared" si="0"/>
        <v>2155982</v>
      </c>
      <c r="AF33" s="9">
        <f t="shared" si="1"/>
        <v>6.5354441734671254E-2</v>
      </c>
      <c r="AG33" s="9">
        <f t="shared" si="2"/>
        <v>0</v>
      </c>
      <c r="AH33" s="9">
        <f t="shared" si="3"/>
        <v>1.8533549909043767E-2</v>
      </c>
      <c r="AI33" s="9">
        <f t="shared" si="4"/>
        <v>1.1084044300926445E-2</v>
      </c>
      <c r="AJ33" s="1" t="str">
        <f>IF(VLOOKUP(A33,Hospital!A:C,3,FALSE)="H","Hospital","Freestanding")</f>
        <v>Freestanding</v>
      </c>
      <c r="AK33" s="1">
        <v>2024</v>
      </c>
    </row>
    <row r="34" spans="1:37">
      <c r="A34" s="1">
        <v>10002</v>
      </c>
      <c r="B34" s="1" t="s">
        <v>199</v>
      </c>
      <c r="C34" s="1">
        <v>381856</v>
      </c>
      <c r="D34" s="1">
        <v>0</v>
      </c>
      <c r="E34" s="1">
        <v>19241</v>
      </c>
      <c r="F34" s="1">
        <v>179623</v>
      </c>
      <c r="G34" s="1">
        <v>451177</v>
      </c>
      <c r="H34" s="1">
        <v>991069</v>
      </c>
      <c r="I34" s="1">
        <v>637630</v>
      </c>
      <c r="J34" s="1">
        <v>1227778</v>
      </c>
      <c r="K34" s="1">
        <v>215640</v>
      </c>
      <c r="L34" s="1">
        <v>184514</v>
      </c>
      <c r="M34" s="1">
        <v>0</v>
      </c>
      <c r="N34" s="1">
        <v>180503</v>
      </c>
      <c r="O34" s="1">
        <v>149525</v>
      </c>
      <c r="P34" s="1">
        <v>0</v>
      </c>
      <c r="Q34" s="1">
        <v>0</v>
      </c>
      <c r="R34" s="1">
        <v>-1029</v>
      </c>
      <c r="S34" s="1">
        <v>0</v>
      </c>
      <c r="T34" s="1">
        <v>0</v>
      </c>
      <c r="U34" s="1">
        <v>442231</v>
      </c>
      <c r="V34" s="1">
        <v>13988</v>
      </c>
      <c r="W34" s="1">
        <v>13160</v>
      </c>
      <c r="X34" s="1">
        <v>0</v>
      </c>
      <c r="Y34" s="1">
        <v>177496</v>
      </c>
      <c r="Z34" s="1">
        <v>-2033</v>
      </c>
      <c r="AA34" s="1">
        <v>99501</v>
      </c>
      <c r="AB34" s="1">
        <v>-1264</v>
      </c>
      <c r="AC34" s="1">
        <v>217877</v>
      </c>
      <c r="AD34" s="1">
        <v>-2562</v>
      </c>
      <c r="AE34" s="1">
        <f t="shared" si="0"/>
        <v>4995201</v>
      </c>
      <c r="AF34" s="9">
        <f t="shared" si="1"/>
        <v>7.6444571499725431E-2</v>
      </c>
      <c r="AG34" s="9">
        <f t="shared" si="2"/>
        <v>0</v>
      </c>
      <c r="AH34" s="9">
        <f t="shared" si="3"/>
        <v>3.8518970507893475E-3</v>
      </c>
      <c r="AI34" s="9">
        <f t="shared" si="4"/>
        <v>3.5959113557192196E-2</v>
      </c>
      <c r="AJ34" s="1" t="str">
        <f>IF(VLOOKUP(A34,Hospital!A:C,3,FALSE)="H","Hospital","Freestanding")</f>
        <v>Freestanding</v>
      </c>
      <c r="AK34" s="1">
        <v>2024</v>
      </c>
    </row>
    <row r="35" spans="1:37">
      <c r="A35" s="1">
        <v>10003</v>
      </c>
      <c r="B35" s="1" t="s">
        <v>200</v>
      </c>
      <c r="C35" s="1">
        <v>284131</v>
      </c>
      <c r="D35" s="1">
        <v>14490</v>
      </c>
      <c r="E35" s="1">
        <v>58091</v>
      </c>
      <c r="F35" s="1">
        <v>46503</v>
      </c>
      <c r="G35" s="1">
        <v>350844</v>
      </c>
      <c r="H35" s="1">
        <v>615606</v>
      </c>
      <c r="I35" s="1">
        <v>345464</v>
      </c>
      <c r="J35" s="1">
        <v>914413</v>
      </c>
      <c r="K35" s="1">
        <v>214558</v>
      </c>
      <c r="L35" s="1">
        <v>105745</v>
      </c>
      <c r="M35" s="1">
        <v>0</v>
      </c>
      <c r="N35" s="1">
        <v>66734</v>
      </c>
      <c r="O35" s="1">
        <v>110745</v>
      </c>
      <c r="P35" s="1">
        <v>28304</v>
      </c>
      <c r="Q35" s="1">
        <v>0</v>
      </c>
      <c r="R35" s="1">
        <v>0</v>
      </c>
      <c r="S35" s="1">
        <v>0</v>
      </c>
      <c r="T35" s="1">
        <v>0</v>
      </c>
      <c r="U35" s="1">
        <v>58715</v>
      </c>
      <c r="V35" s="1">
        <v>0</v>
      </c>
      <c r="W35" s="1">
        <v>83302</v>
      </c>
      <c r="X35" s="1">
        <v>0</v>
      </c>
      <c r="Y35" s="1">
        <v>87494</v>
      </c>
      <c r="Z35" s="1">
        <v>0</v>
      </c>
      <c r="AA35" s="1">
        <v>52619</v>
      </c>
      <c r="AB35" s="1">
        <v>0</v>
      </c>
      <c r="AC35" s="1">
        <v>223694</v>
      </c>
      <c r="AD35" s="1">
        <v>0</v>
      </c>
      <c r="AE35" s="1">
        <f t="shared" si="0"/>
        <v>3258237</v>
      </c>
      <c r="AF35" s="9">
        <f t="shared" si="1"/>
        <v>8.7203908125774762E-2</v>
      </c>
      <c r="AG35" s="9">
        <f t="shared" si="2"/>
        <v>4.4471903056775798E-3</v>
      </c>
      <c r="AH35" s="9">
        <f t="shared" si="3"/>
        <v>1.7828967014983869E-2</v>
      </c>
      <c r="AI35" s="9">
        <f t="shared" si="4"/>
        <v>1.4272442428221151E-2</v>
      </c>
      <c r="AJ35" s="1" t="str">
        <f>IF(VLOOKUP(A35,Hospital!A:C,3,FALSE)="H","Hospital","Freestanding")</f>
        <v>Freestanding</v>
      </c>
      <c r="AK35" s="1">
        <v>2024</v>
      </c>
    </row>
    <row r="36" spans="1:37">
      <c r="A36" s="1">
        <v>11001</v>
      </c>
      <c r="B36" s="1" t="s">
        <v>201</v>
      </c>
      <c r="C36" s="1">
        <v>141078</v>
      </c>
      <c r="D36" s="1">
        <v>0</v>
      </c>
      <c r="E36" s="1">
        <v>63074</v>
      </c>
      <c r="F36" s="1">
        <v>60389</v>
      </c>
      <c r="G36" s="1">
        <v>171246</v>
      </c>
      <c r="H36" s="1">
        <v>290649</v>
      </c>
      <c r="I36" s="1">
        <v>304968</v>
      </c>
      <c r="J36" s="1">
        <v>435464</v>
      </c>
      <c r="K36" s="1">
        <v>41169</v>
      </c>
      <c r="L36" s="1">
        <v>51571</v>
      </c>
      <c r="M36" s="1">
        <v>0</v>
      </c>
      <c r="N36" s="1">
        <v>42112</v>
      </c>
      <c r="O36" s="1">
        <v>47670</v>
      </c>
      <c r="P36" s="1">
        <v>0</v>
      </c>
      <c r="Q36" s="1">
        <v>0</v>
      </c>
      <c r="R36" s="1">
        <v>15051</v>
      </c>
      <c r="S36" s="1">
        <v>0</v>
      </c>
      <c r="T36" s="1">
        <v>0</v>
      </c>
      <c r="U36" s="1">
        <v>165297</v>
      </c>
      <c r="V36" s="1">
        <v>1574</v>
      </c>
      <c r="W36" s="1">
        <v>12336</v>
      </c>
      <c r="X36" s="1">
        <v>291</v>
      </c>
      <c r="Y36" s="1">
        <v>15818</v>
      </c>
      <c r="Z36" s="1">
        <v>1700</v>
      </c>
      <c r="AA36" s="1">
        <v>53127</v>
      </c>
      <c r="AB36" s="1">
        <v>400</v>
      </c>
      <c r="AC36" s="1">
        <v>225660</v>
      </c>
      <c r="AD36" s="1">
        <v>323</v>
      </c>
      <c r="AE36" s="1">
        <f t="shared" si="0"/>
        <v>1876426</v>
      </c>
      <c r="AF36" s="9">
        <f t="shared" si="1"/>
        <v>7.5184419742638398E-2</v>
      </c>
      <c r="AG36" s="9">
        <f t="shared" si="2"/>
        <v>0</v>
      </c>
      <c r="AH36" s="9">
        <f t="shared" si="3"/>
        <v>3.3613902173600239E-2</v>
      </c>
      <c r="AI36" s="9">
        <f t="shared" si="4"/>
        <v>3.2182990429678551E-2</v>
      </c>
      <c r="AJ36" s="1" t="str">
        <f>IF(VLOOKUP(A36,Hospital!A:C,3,FALSE)="H","Hospital","Freestanding")</f>
        <v>Freestanding</v>
      </c>
      <c r="AK36" s="1">
        <v>2024</v>
      </c>
    </row>
    <row r="37" spans="1:37">
      <c r="A37" s="1">
        <v>12001</v>
      </c>
      <c r="B37" s="1" t="s">
        <v>202</v>
      </c>
      <c r="C37" s="1">
        <v>171124</v>
      </c>
      <c r="D37" s="1">
        <v>2410</v>
      </c>
      <c r="E37" s="1">
        <v>6542</v>
      </c>
      <c r="F37" s="1">
        <v>0</v>
      </c>
      <c r="G37" s="1">
        <v>90266</v>
      </c>
      <c r="H37" s="1">
        <v>444404</v>
      </c>
      <c r="I37" s="1">
        <v>316458</v>
      </c>
      <c r="J37" s="1">
        <v>458851</v>
      </c>
      <c r="K37" s="1">
        <v>44111</v>
      </c>
      <c r="L37" s="1">
        <v>49639</v>
      </c>
      <c r="M37" s="1">
        <v>0</v>
      </c>
      <c r="N37" s="1">
        <v>60807</v>
      </c>
      <c r="O37" s="1">
        <v>145349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185149</v>
      </c>
      <c r="V37" s="1">
        <v>0</v>
      </c>
      <c r="W37" s="1">
        <v>125906</v>
      </c>
      <c r="X37" s="1">
        <v>0</v>
      </c>
      <c r="Y37" s="1">
        <v>82517</v>
      </c>
      <c r="Z37" s="1">
        <v>0</v>
      </c>
      <c r="AA37" s="1">
        <v>67616</v>
      </c>
      <c r="AB37" s="1">
        <v>0</v>
      </c>
      <c r="AC37" s="1">
        <v>239998</v>
      </c>
      <c r="AD37" s="1">
        <v>0</v>
      </c>
      <c r="AE37" s="1">
        <f t="shared" si="0"/>
        <v>2311071</v>
      </c>
      <c r="AF37" s="9">
        <f t="shared" si="1"/>
        <v>7.4045323575087044E-2</v>
      </c>
      <c r="AG37" s="9">
        <f t="shared" si="2"/>
        <v>1.0428065602484736E-3</v>
      </c>
      <c r="AH37" s="9">
        <f t="shared" si="3"/>
        <v>2.8307222062844456E-3</v>
      </c>
      <c r="AI37" s="9">
        <f t="shared" si="4"/>
        <v>0</v>
      </c>
      <c r="AJ37" s="1" t="str">
        <f>IF(VLOOKUP(A37,Hospital!A:C,3,FALSE)="H","Hospital","Freestanding")</f>
        <v>Freestanding</v>
      </c>
      <c r="AK37" s="1">
        <v>2024</v>
      </c>
    </row>
    <row r="38" spans="1:37">
      <c r="A38" s="1">
        <v>12002</v>
      </c>
      <c r="B38" s="1" t="s">
        <v>203</v>
      </c>
      <c r="C38" s="1">
        <v>287303</v>
      </c>
      <c r="D38" s="1">
        <v>2805</v>
      </c>
      <c r="E38" s="1">
        <v>73444</v>
      </c>
      <c r="F38" s="1">
        <v>38651</v>
      </c>
      <c r="G38" s="1">
        <v>359819</v>
      </c>
      <c r="H38" s="1">
        <v>345839</v>
      </c>
      <c r="I38" s="1">
        <v>413844</v>
      </c>
      <c r="J38" s="1">
        <v>860884</v>
      </c>
      <c r="K38" s="1">
        <v>145791</v>
      </c>
      <c r="L38" s="1">
        <v>95000</v>
      </c>
      <c r="M38" s="1">
        <v>0</v>
      </c>
      <c r="N38" s="1">
        <v>84870</v>
      </c>
      <c r="O38" s="1">
        <v>191899</v>
      </c>
      <c r="P38" s="1">
        <v>0</v>
      </c>
      <c r="Q38" s="1">
        <v>0</v>
      </c>
      <c r="R38" s="1">
        <v>414</v>
      </c>
      <c r="S38" s="1">
        <v>0</v>
      </c>
      <c r="T38" s="1">
        <v>0</v>
      </c>
      <c r="U38" s="1">
        <v>473696</v>
      </c>
      <c r="V38" s="1">
        <v>-5349</v>
      </c>
      <c r="W38" s="1">
        <v>66634</v>
      </c>
      <c r="X38" s="1">
        <v>551</v>
      </c>
      <c r="Y38" s="1">
        <v>251176</v>
      </c>
      <c r="Z38" s="1">
        <v>-7050</v>
      </c>
      <c r="AA38" s="1">
        <v>194108</v>
      </c>
      <c r="AB38" s="1">
        <v>-5740</v>
      </c>
      <c r="AC38" s="1">
        <v>325533</v>
      </c>
      <c r="AD38" s="1">
        <v>-7423</v>
      </c>
      <c r="AE38" s="1">
        <f t="shared" si="0"/>
        <v>3784496</v>
      </c>
      <c r="AF38" s="9">
        <f t="shared" si="1"/>
        <v>7.5915789050906651E-2</v>
      </c>
      <c r="AG38" s="9">
        <f t="shared" si="2"/>
        <v>7.4118191695803082E-4</v>
      </c>
      <c r="AH38" s="9">
        <f t="shared" si="3"/>
        <v>1.9406547133356728E-2</v>
      </c>
      <c r="AI38" s="9">
        <f t="shared" si="4"/>
        <v>1.0212984767324367E-2</v>
      </c>
      <c r="AJ38" s="1" t="str">
        <f>IF(VLOOKUP(A38,Hospital!A:C,3,FALSE)="H","Hospital","Freestanding")</f>
        <v>Freestanding</v>
      </c>
      <c r="AK38" s="1">
        <v>2024</v>
      </c>
    </row>
    <row r="39" spans="1:37">
      <c r="A39" s="1">
        <v>13001</v>
      </c>
      <c r="B39" s="1" t="s">
        <v>204</v>
      </c>
      <c r="C39" s="1">
        <v>114336</v>
      </c>
      <c r="D39" s="1">
        <v>14584</v>
      </c>
      <c r="E39" s="1">
        <v>87619</v>
      </c>
      <c r="F39" s="1">
        <v>10763</v>
      </c>
      <c r="G39" s="1">
        <v>252949</v>
      </c>
      <c r="H39" s="1">
        <v>285981</v>
      </c>
      <c r="I39" s="1">
        <v>58479</v>
      </c>
      <c r="J39" s="1">
        <v>294492</v>
      </c>
      <c r="K39" s="1">
        <v>14501</v>
      </c>
      <c r="L39" s="1">
        <v>43936</v>
      </c>
      <c r="M39" s="1">
        <v>0</v>
      </c>
      <c r="N39" s="1">
        <v>49973</v>
      </c>
      <c r="O39" s="1">
        <v>44796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234728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55910</v>
      </c>
      <c r="AB39" s="1">
        <v>0</v>
      </c>
      <c r="AC39" s="1">
        <v>147004</v>
      </c>
      <c r="AD39" s="1">
        <v>0</v>
      </c>
      <c r="AE39" s="1">
        <f t="shared" si="0"/>
        <v>1482749</v>
      </c>
      <c r="AF39" s="9">
        <f t="shared" si="1"/>
        <v>7.7110825905126218E-2</v>
      </c>
      <c r="AG39" s="9">
        <f t="shared" si="2"/>
        <v>9.8357847484638328E-3</v>
      </c>
      <c r="AH39" s="9">
        <f t="shared" si="3"/>
        <v>5.9092267133547212E-2</v>
      </c>
      <c r="AI39" s="9">
        <f t="shared" si="4"/>
        <v>7.2588145397501531E-3</v>
      </c>
      <c r="AJ39" s="1" t="str">
        <f>IF(VLOOKUP(A39,Hospital!A:C,3,FALSE)="H","Hospital","Freestanding")</f>
        <v>Freestanding</v>
      </c>
      <c r="AK39" s="1">
        <v>2024</v>
      </c>
    </row>
    <row r="40" spans="1:37">
      <c r="A40" s="1">
        <v>13003</v>
      </c>
      <c r="B40" s="1" t="s">
        <v>205</v>
      </c>
      <c r="C40" s="1">
        <v>368216</v>
      </c>
      <c r="D40" s="1">
        <v>43131</v>
      </c>
      <c r="E40" s="1">
        <v>71783</v>
      </c>
      <c r="F40" s="1">
        <v>20264</v>
      </c>
      <c r="G40" s="1">
        <v>608733</v>
      </c>
      <c r="H40" s="1">
        <v>258582</v>
      </c>
      <c r="I40" s="1">
        <v>582428</v>
      </c>
      <c r="J40" s="1">
        <v>1130213</v>
      </c>
      <c r="K40" s="1">
        <v>564437</v>
      </c>
      <c r="L40" s="1">
        <v>140453</v>
      </c>
      <c r="M40" s="1">
        <v>0</v>
      </c>
      <c r="N40" s="1">
        <v>140043</v>
      </c>
      <c r="O40" s="1">
        <v>183876</v>
      </c>
      <c r="P40" s="1">
        <v>0</v>
      </c>
      <c r="Q40" s="1">
        <v>25351</v>
      </c>
      <c r="R40" s="1">
        <v>0</v>
      </c>
      <c r="S40" s="1">
        <v>0</v>
      </c>
      <c r="T40" s="1">
        <v>0</v>
      </c>
      <c r="U40" s="1">
        <v>373727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176143</v>
      </c>
      <c r="AB40" s="1">
        <v>0</v>
      </c>
      <c r="AC40" s="1">
        <v>383995</v>
      </c>
      <c r="AD40" s="1">
        <v>0</v>
      </c>
      <c r="AE40" s="1">
        <f t="shared" si="0"/>
        <v>4567981</v>
      </c>
      <c r="AF40" s="9">
        <f t="shared" si="1"/>
        <v>8.0608041057964125E-2</v>
      </c>
      <c r="AG40" s="9">
        <f t="shared" si="2"/>
        <v>9.4420270136850396E-3</v>
      </c>
      <c r="AH40" s="9">
        <f t="shared" si="3"/>
        <v>1.5714382349663887E-2</v>
      </c>
      <c r="AI40" s="9">
        <f t="shared" si="4"/>
        <v>4.4360955091538251E-3</v>
      </c>
      <c r="AJ40" s="1" t="str">
        <f>IF(VLOOKUP(A40,Hospital!A:C,3,FALSE)="H","Hospital","Freestanding")</f>
        <v>Freestanding</v>
      </c>
      <c r="AK40" s="1">
        <v>2024</v>
      </c>
    </row>
    <row r="41" spans="1:37">
      <c r="A41" s="1">
        <v>13004</v>
      </c>
      <c r="B41" s="1" t="s">
        <v>206</v>
      </c>
      <c r="C41" s="1">
        <v>210737</v>
      </c>
      <c r="D41" s="1">
        <v>5384</v>
      </c>
      <c r="E41" s="1">
        <v>207696</v>
      </c>
      <c r="F41" s="1">
        <v>68199</v>
      </c>
      <c r="G41" s="1">
        <v>295976</v>
      </c>
      <c r="H41" s="1">
        <v>304438</v>
      </c>
      <c r="I41" s="1">
        <v>454207</v>
      </c>
      <c r="J41" s="1">
        <v>708228</v>
      </c>
      <c r="K41" s="1">
        <v>39108</v>
      </c>
      <c r="L41" s="1">
        <v>85408</v>
      </c>
      <c r="M41" s="1">
        <v>0</v>
      </c>
      <c r="N41" s="1">
        <v>65194</v>
      </c>
      <c r="O41" s="1">
        <v>83453</v>
      </c>
      <c r="P41" s="1">
        <v>0</v>
      </c>
      <c r="Q41" s="1">
        <v>0</v>
      </c>
      <c r="R41" s="1">
        <v>-3797</v>
      </c>
      <c r="S41" s="1">
        <v>0</v>
      </c>
      <c r="T41" s="1">
        <v>0</v>
      </c>
      <c r="U41" s="1">
        <v>289664</v>
      </c>
      <c r="V41" s="1">
        <v>1476</v>
      </c>
      <c r="W41" s="1">
        <v>24106</v>
      </c>
      <c r="X41" s="1">
        <v>-1843</v>
      </c>
      <c r="Y41" s="1">
        <v>125045</v>
      </c>
      <c r="Z41" s="1">
        <v>-5615</v>
      </c>
      <c r="AA41" s="1">
        <v>62075</v>
      </c>
      <c r="AB41" s="1">
        <v>2761</v>
      </c>
      <c r="AC41" s="1">
        <v>266768</v>
      </c>
      <c r="AD41" s="1">
        <v>-1204</v>
      </c>
      <c r="AE41" s="1">
        <f t="shared" si="0"/>
        <v>2795448</v>
      </c>
      <c r="AF41" s="9">
        <f t="shared" si="1"/>
        <v>7.5385770008957423E-2</v>
      </c>
      <c r="AG41" s="9">
        <f t="shared" si="2"/>
        <v>1.9259882494684216E-3</v>
      </c>
      <c r="AH41" s="9">
        <f t="shared" si="3"/>
        <v>7.4297930063445997E-2</v>
      </c>
      <c r="AI41" s="9">
        <f t="shared" si="4"/>
        <v>2.4396447367291397E-2</v>
      </c>
      <c r="AJ41" s="1" t="str">
        <f>IF(VLOOKUP(A41,Hospital!A:C,3,FALSE)="H","Hospital","Freestanding")</f>
        <v>Freestanding</v>
      </c>
      <c r="AK41" s="1">
        <v>2024</v>
      </c>
    </row>
    <row r="42" spans="1:37">
      <c r="A42" s="1">
        <v>13005</v>
      </c>
      <c r="B42" s="1" t="s">
        <v>207</v>
      </c>
      <c r="C42" s="1">
        <v>121428</v>
      </c>
      <c r="D42" s="1">
        <v>58</v>
      </c>
      <c r="E42" s="1">
        <v>2137</v>
      </c>
      <c r="F42" s="1">
        <v>46534</v>
      </c>
      <c r="G42" s="1">
        <v>222829</v>
      </c>
      <c r="H42" s="1">
        <v>299670</v>
      </c>
      <c r="I42" s="1">
        <v>348293</v>
      </c>
      <c r="J42" s="1">
        <v>392195</v>
      </c>
      <c r="K42" s="1">
        <v>0</v>
      </c>
      <c r="L42" s="1">
        <v>0</v>
      </c>
      <c r="M42" s="1">
        <v>0</v>
      </c>
      <c r="N42" s="1">
        <v>61095</v>
      </c>
      <c r="O42" s="1">
        <v>0</v>
      </c>
      <c r="P42" s="1">
        <v>0</v>
      </c>
      <c r="Q42" s="1">
        <v>0</v>
      </c>
      <c r="R42" s="1">
        <v>-1009</v>
      </c>
      <c r="S42" s="1">
        <v>0</v>
      </c>
      <c r="T42" s="1">
        <v>0</v>
      </c>
      <c r="U42" s="1">
        <v>76098</v>
      </c>
      <c r="V42" s="1">
        <v>242</v>
      </c>
      <c r="W42" s="1">
        <v>0</v>
      </c>
      <c r="X42" s="1">
        <v>0</v>
      </c>
      <c r="Y42" s="1">
        <v>66664</v>
      </c>
      <c r="Z42" s="1">
        <v>-839</v>
      </c>
      <c r="AA42" s="1">
        <v>19047</v>
      </c>
      <c r="AB42" s="1">
        <v>0</v>
      </c>
      <c r="AC42" s="1">
        <v>122820</v>
      </c>
      <c r="AD42" s="1">
        <v>1750</v>
      </c>
      <c r="AE42" s="1">
        <f t="shared" si="0"/>
        <v>1608855</v>
      </c>
      <c r="AF42" s="9">
        <f t="shared" si="1"/>
        <v>7.5474794185927258E-2</v>
      </c>
      <c r="AG42" s="9">
        <f t="shared" si="2"/>
        <v>3.6050483107551646E-5</v>
      </c>
      <c r="AH42" s="9">
        <f t="shared" si="3"/>
        <v>1.3282738344972045E-3</v>
      </c>
      <c r="AI42" s="9">
        <f t="shared" si="4"/>
        <v>2.8923675533220831E-2</v>
      </c>
      <c r="AJ42" s="1" t="str">
        <f>IF(VLOOKUP(A42,Hospital!A:C,3,FALSE)="H","Hospital","Freestanding")</f>
        <v>Freestanding</v>
      </c>
      <c r="AK42" s="1">
        <v>2024</v>
      </c>
    </row>
    <row r="43" spans="1:37">
      <c r="A43" s="1">
        <v>14001</v>
      </c>
      <c r="B43" s="1" t="s">
        <v>208</v>
      </c>
      <c r="C43" s="1">
        <v>201028</v>
      </c>
      <c r="D43" s="1">
        <v>0</v>
      </c>
      <c r="E43" s="1">
        <v>33556</v>
      </c>
      <c r="F43" s="1">
        <v>0</v>
      </c>
      <c r="G43" s="1">
        <v>97247</v>
      </c>
      <c r="H43" s="1">
        <v>196118</v>
      </c>
      <c r="I43" s="1">
        <v>402287</v>
      </c>
      <c r="J43" s="1">
        <v>971054</v>
      </c>
      <c r="K43" s="1">
        <v>69618</v>
      </c>
      <c r="L43" s="1">
        <v>8748</v>
      </c>
      <c r="M43" s="1">
        <v>0</v>
      </c>
      <c r="N43" s="1">
        <v>33260</v>
      </c>
      <c r="O43" s="1">
        <v>94921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273952</v>
      </c>
      <c r="V43" s="1">
        <v>0</v>
      </c>
      <c r="W43" s="1">
        <v>0</v>
      </c>
      <c r="X43" s="1">
        <v>0</v>
      </c>
      <c r="Y43" s="1">
        <v>92274</v>
      </c>
      <c r="Z43" s="1">
        <v>0</v>
      </c>
      <c r="AA43" s="1">
        <v>80456</v>
      </c>
      <c r="AB43" s="1">
        <v>0</v>
      </c>
      <c r="AC43" s="1">
        <v>210862</v>
      </c>
      <c r="AD43" s="1">
        <v>0</v>
      </c>
      <c r="AE43" s="1">
        <f t="shared" si="0"/>
        <v>2530797</v>
      </c>
      <c r="AF43" s="9">
        <f t="shared" si="1"/>
        <v>7.9432684644402535E-2</v>
      </c>
      <c r="AG43" s="9">
        <f t="shared" si="2"/>
        <v>0</v>
      </c>
      <c r="AH43" s="9">
        <f t="shared" si="3"/>
        <v>1.3259064239447099E-2</v>
      </c>
      <c r="AI43" s="9">
        <f t="shared" si="4"/>
        <v>0</v>
      </c>
      <c r="AJ43" s="1" t="str">
        <f>IF(VLOOKUP(A43,Hospital!A:C,3,FALSE)="H","Hospital","Freestanding")</f>
        <v>Freestanding</v>
      </c>
      <c r="AK43" s="1">
        <v>2024</v>
      </c>
    </row>
    <row r="44" spans="1:37">
      <c r="A44" s="1">
        <v>14002</v>
      </c>
      <c r="B44" s="1" t="s">
        <v>209</v>
      </c>
      <c r="C44" s="1">
        <v>192438</v>
      </c>
      <c r="D44" s="1">
        <v>4095</v>
      </c>
      <c r="E44" s="1">
        <v>31632</v>
      </c>
      <c r="F44" s="1">
        <v>65721</v>
      </c>
      <c r="G44" s="1">
        <v>323696</v>
      </c>
      <c r="H44" s="1">
        <v>339310</v>
      </c>
      <c r="I44" s="1">
        <v>387871</v>
      </c>
      <c r="J44" s="1">
        <v>833962</v>
      </c>
      <c r="K44" s="1">
        <v>5421</v>
      </c>
      <c r="L44" s="1">
        <v>52578</v>
      </c>
      <c r="M44" s="1">
        <v>0</v>
      </c>
      <c r="N44" s="1">
        <v>42448</v>
      </c>
      <c r="O44" s="1">
        <v>112763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199354</v>
      </c>
      <c r="V44" s="1">
        <v>0</v>
      </c>
      <c r="W44" s="1">
        <v>48273</v>
      </c>
      <c r="X44" s="1">
        <v>0</v>
      </c>
      <c r="Y44" s="1">
        <v>38752</v>
      </c>
      <c r="Z44" s="1">
        <v>0</v>
      </c>
      <c r="AA44" s="1">
        <v>69411</v>
      </c>
      <c r="AB44" s="1">
        <v>0</v>
      </c>
      <c r="AC44" s="1">
        <v>145556</v>
      </c>
      <c r="AD44" s="1">
        <v>0</v>
      </c>
      <c r="AE44" s="1">
        <f t="shared" si="0"/>
        <v>2599395</v>
      </c>
      <c r="AF44" s="9">
        <f t="shared" si="1"/>
        <v>7.4031842024778846E-2</v>
      </c>
      <c r="AG44" s="9">
        <f t="shared" si="2"/>
        <v>1.5753665756839572E-3</v>
      </c>
      <c r="AH44" s="9">
        <f t="shared" si="3"/>
        <v>1.2168985475466406E-2</v>
      </c>
      <c r="AI44" s="9">
        <f t="shared" si="4"/>
        <v>2.5283190896343188E-2</v>
      </c>
      <c r="AJ44" s="1" t="str">
        <f>IF(VLOOKUP(A44,Hospital!A:C,3,FALSE)="H","Hospital","Freestanding")</f>
        <v>Freestanding</v>
      </c>
      <c r="AK44" s="1">
        <v>2024</v>
      </c>
    </row>
    <row r="45" spans="1:37">
      <c r="A45" s="1">
        <v>14004</v>
      </c>
      <c r="B45" s="1" t="s">
        <v>210</v>
      </c>
      <c r="C45" s="1">
        <v>707907</v>
      </c>
      <c r="D45" s="1">
        <v>3864</v>
      </c>
      <c r="E45" s="1">
        <v>121626</v>
      </c>
      <c r="F45" s="1">
        <v>153552</v>
      </c>
      <c r="G45" s="1">
        <v>484040</v>
      </c>
      <c r="H45" s="1">
        <v>913757</v>
      </c>
      <c r="I45" s="1">
        <v>950797</v>
      </c>
      <c r="J45" s="1">
        <v>3651708</v>
      </c>
      <c r="K45" s="1">
        <v>755208</v>
      </c>
      <c r="L45" s="1">
        <v>292129</v>
      </c>
      <c r="M45" s="1">
        <v>0</v>
      </c>
      <c r="N45" s="1">
        <v>177292</v>
      </c>
      <c r="O45" s="1">
        <v>437499</v>
      </c>
      <c r="P45" s="1">
        <v>35122</v>
      </c>
      <c r="Q45" s="1">
        <v>77983</v>
      </c>
      <c r="R45" s="1">
        <v>0</v>
      </c>
      <c r="S45" s="1">
        <v>0</v>
      </c>
      <c r="T45" s="1">
        <v>0</v>
      </c>
      <c r="U45" s="1">
        <v>822353</v>
      </c>
      <c r="V45" s="1">
        <v>0</v>
      </c>
      <c r="W45" s="1">
        <v>137683</v>
      </c>
      <c r="X45" s="1">
        <v>0</v>
      </c>
      <c r="Y45" s="1">
        <v>276656</v>
      </c>
      <c r="Z45" s="1">
        <v>0</v>
      </c>
      <c r="AA45" s="1">
        <v>336323</v>
      </c>
      <c r="AB45" s="1">
        <v>0</v>
      </c>
      <c r="AC45" s="1">
        <v>315989</v>
      </c>
      <c r="AD45" s="1">
        <v>0</v>
      </c>
      <c r="AE45" s="1">
        <f t="shared" si="0"/>
        <v>9664539</v>
      </c>
      <c r="AF45" s="9">
        <f t="shared" si="1"/>
        <v>7.3247880731817622E-2</v>
      </c>
      <c r="AG45" s="9">
        <f t="shared" si="2"/>
        <v>3.998121379612623E-4</v>
      </c>
      <c r="AH45" s="9">
        <f t="shared" si="3"/>
        <v>1.2584769951262032E-2</v>
      </c>
      <c r="AI45" s="9">
        <f t="shared" si="4"/>
        <v>1.5888186699851901E-2</v>
      </c>
      <c r="AJ45" s="1" t="str">
        <f>IF(VLOOKUP(A45,Hospital!A:C,3,FALSE)="H","Hospital","Freestanding")</f>
        <v>Freestanding</v>
      </c>
      <c r="AK45" s="1">
        <v>2024</v>
      </c>
    </row>
    <row r="46" spans="1:37">
      <c r="A46" s="1">
        <v>15002</v>
      </c>
      <c r="B46" s="1" t="s">
        <v>211</v>
      </c>
      <c r="C46" s="1">
        <v>228673</v>
      </c>
      <c r="D46" s="1">
        <v>12840</v>
      </c>
      <c r="E46" s="1">
        <v>46224</v>
      </c>
      <c r="F46" s="1">
        <v>41965</v>
      </c>
      <c r="G46" s="1">
        <v>199965</v>
      </c>
      <c r="H46" s="1">
        <v>432812</v>
      </c>
      <c r="I46" s="1">
        <v>356403</v>
      </c>
      <c r="J46" s="1">
        <v>1074307</v>
      </c>
      <c r="K46" s="1">
        <v>119356</v>
      </c>
      <c r="L46" s="1">
        <v>43979</v>
      </c>
      <c r="M46" s="1">
        <v>0</v>
      </c>
      <c r="N46" s="1">
        <v>71974</v>
      </c>
      <c r="O46" s="1">
        <v>108878</v>
      </c>
      <c r="P46" s="1">
        <v>0</v>
      </c>
      <c r="Q46" s="1">
        <v>67622</v>
      </c>
      <c r="R46" s="1">
        <v>40335</v>
      </c>
      <c r="S46" s="1">
        <v>0</v>
      </c>
      <c r="T46" s="1">
        <v>0</v>
      </c>
      <c r="U46" s="1">
        <v>117071</v>
      </c>
      <c r="V46" s="1">
        <v>1519</v>
      </c>
      <c r="W46" s="1">
        <v>48732</v>
      </c>
      <c r="X46" s="1">
        <v>-796</v>
      </c>
      <c r="Y46" s="1">
        <v>89383</v>
      </c>
      <c r="Z46" s="1">
        <v>-656</v>
      </c>
      <c r="AA46" s="1">
        <v>99755</v>
      </c>
      <c r="AB46" s="1">
        <v>-6303</v>
      </c>
      <c r="AC46" s="1">
        <v>205572</v>
      </c>
      <c r="AD46" s="1">
        <v>13282</v>
      </c>
      <c r="AE46" s="1">
        <f t="shared" si="0"/>
        <v>3083190</v>
      </c>
      <c r="AF46" s="9">
        <f t="shared" si="1"/>
        <v>7.416766401032697E-2</v>
      </c>
      <c r="AG46" s="9">
        <f t="shared" si="2"/>
        <v>4.1645179181302484E-3</v>
      </c>
      <c r="AH46" s="9">
        <f t="shared" si="3"/>
        <v>1.4992264505268894E-2</v>
      </c>
      <c r="AI46" s="9">
        <f t="shared" si="4"/>
        <v>1.3610902993328339E-2</v>
      </c>
      <c r="AJ46" s="1" t="str">
        <f>IF(VLOOKUP(A46,Hospital!A:C,3,FALSE)="H","Hospital","Freestanding")</f>
        <v>Freestanding</v>
      </c>
      <c r="AK46" s="1">
        <v>2024</v>
      </c>
    </row>
    <row r="47" spans="1:37">
      <c r="A47" s="1">
        <v>16001</v>
      </c>
      <c r="B47" s="1" t="s">
        <v>212</v>
      </c>
      <c r="C47" s="1">
        <v>0</v>
      </c>
      <c r="D47" s="1">
        <v>0</v>
      </c>
      <c r="E47" s="1">
        <v>0</v>
      </c>
      <c r="F47" s="1">
        <v>0</v>
      </c>
      <c r="G47" s="1">
        <v>227545</v>
      </c>
      <c r="H47" s="1">
        <v>846946</v>
      </c>
      <c r="I47" s="1">
        <v>73905</v>
      </c>
      <c r="J47" s="1">
        <v>570636</v>
      </c>
      <c r="K47" s="1">
        <v>41633</v>
      </c>
      <c r="L47" s="1">
        <v>64304</v>
      </c>
      <c r="M47" s="1">
        <v>0</v>
      </c>
      <c r="N47" s="1">
        <v>28035</v>
      </c>
      <c r="O47" s="1">
        <v>107701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f t="shared" si="0"/>
        <v>1960705</v>
      </c>
      <c r="AF47" s="9">
        <f t="shared" si="1"/>
        <v>0</v>
      </c>
      <c r="AG47" s="9">
        <f t="shared" si="2"/>
        <v>0</v>
      </c>
      <c r="AH47" s="9">
        <f t="shared" si="3"/>
        <v>0</v>
      </c>
      <c r="AI47" s="9">
        <f t="shared" si="4"/>
        <v>0</v>
      </c>
      <c r="AJ47" s="1" t="str">
        <f>IF(VLOOKUP(A47,Hospital!A:C,3,FALSE)="H","Hospital","Freestanding")</f>
        <v>Hospital</v>
      </c>
      <c r="AK47" s="1">
        <v>2024</v>
      </c>
    </row>
    <row r="48" spans="1:37">
      <c r="A48" s="1">
        <v>17001</v>
      </c>
      <c r="B48" s="1" t="s">
        <v>213</v>
      </c>
      <c r="C48" s="1">
        <v>203778</v>
      </c>
      <c r="D48" s="1">
        <v>0</v>
      </c>
      <c r="E48" s="1">
        <v>23030</v>
      </c>
      <c r="F48" s="1">
        <v>109847</v>
      </c>
      <c r="G48" s="1">
        <v>152368</v>
      </c>
      <c r="H48" s="1">
        <v>415983</v>
      </c>
      <c r="I48" s="1">
        <v>317056</v>
      </c>
      <c r="J48" s="1">
        <v>899550</v>
      </c>
      <c r="K48" s="1">
        <v>19511</v>
      </c>
      <c r="L48" s="1">
        <v>21267</v>
      </c>
      <c r="M48" s="1">
        <v>0</v>
      </c>
      <c r="N48" s="1">
        <v>63339</v>
      </c>
      <c r="O48" s="1">
        <v>75533</v>
      </c>
      <c r="P48" s="1">
        <v>11221</v>
      </c>
      <c r="Q48" s="1">
        <v>0</v>
      </c>
      <c r="R48" s="1">
        <v>1453</v>
      </c>
      <c r="S48" s="1">
        <v>0</v>
      </c>
      <c r="T48" s="1">
        <v>0</v>
      </c>
      <c r="U48" s="1">
        <v>268253</v>
      </c>
      <c r="V48" s="1">
        <v>6052</v>
      </c>
      <c r="W48" s="1">
        <v>33349</v>
      </c>
      <c r="X48" s="1">
        <v>354</v>
      </c>
      <c r="Y48" s="1">
        <v>86260</v>
      </c>
      <c r="Z48" s="1">
        <v>1748</v>
      </c>
      <c r="AA48" s="1">
        <v>67463</v>
      </c>
      <c r="AB48" s="1">
        <v>466</v>
      </c>
      <c r="AC48" s="1">
        <v>189473</v>
      </c>
      <c r="AD48" s="1">
        <v>1657</v>
      </c>
      <c r="AE48" s="1">
        <f t="shared" si="0"/>
        <v>2632356</v>
      </c>
      <c r="AF48" s="9">
        <f t="shared" si="1"/>
        <v>7.7412781553862775E-2</v>
      </c>
      <c r="AG48" s="9">
        <f t="shared" si="2"/>
        <v>0</v>
      </c>
      <c r="AH48" s="9">
        <f t="shared" si="3"/>
        <v>8.7488166494197588E-3</v>
      </c>
      <c r="AI48" s="9">
        <f t="shared" si="4"/>
        <v>4.1729538101989247E-2</v>
      </c>
      <c r="AJ48" s="1" t="str">
        <f>IF(VLOOKUP(A48,Hospital!A:C,3,FALSE)="H","Hospital","Freestanding")</f>
        <v>Freestanding</v>
      </c>
      <c r="AK48" s="1">
        <v>2024</v>
      </c>
    </row>
    <row r="49" spans="1:37">
      <c r="A49" s="1">
        <v>17003</v>
      </c>
      <c r="B49" s="1" t="s">
        <v>214</v>
      </c>
      <c r="C49" s="1">
        <v>135980</v>
      </c>
      <c r="D49" s="1">
        <v>0</v>
      </c>
      <c r="E49" s="1">
        <v>2266</v>
      </c>
      <c r="F49" s="1">
        <v>59798</v>
      </c>
      <c r="G49" s="1">
        <v>164941</v>
      </c>
      <c r="H49" s="1">
        <v>63675</v>
      </c>
      <c r="I49" s="1">
        <v>359890</v>
      </c>
      <c r="J49" s="1">
        <v>483364</v>
      </c>
      <c r="K49" s="1">
        <v>115203</v>
      </c>
      <c r="L49" s="1">
        <v>8365</v>
      </c>
      <c r="M49" s="1">
        <v>0</v>
      </c>
      <c r="N49" s="1">
        <v>66058</v>
      </c>
      <c r="O49" s="1">
        <v>68658</v>
      </c>
      <c r="P49" s="1">
        <v>0</v>
      </c>
      <c r="Q49" s="1">
        <v>0</v>
      </c>
      <c r="R49" s="1">
        <v>6466</v>
      </c>
      <c r="S49" s="1">
        <v>0</v>
      </c>
      <c r="T49" s="1">
        <v>0</v>
      </c>
      <c r="U49" s="1">
        <v>142430</v>
      </c>
      <c r="V49" s="1">
        <v>1203</v>
      </c>
      <c r="W49" s="1">
        <v>36960</v>
      </c>
      <c r="X49" s="1">
        <v>1090</v>
      </c>
      <c r="Y49" s="1">
        <v>31860</v>
      </c>
      <c r="Z49" s="1">
        <v>459</v>
      </c>
      <c r="AA49" s="1">
        <v>32238</v>
      </c>
      <c r="AB49" s="1">
        <v>198</v>
      </c>
      <c r="AC49" s="1">
        <v>176762</v>
      </c>
      <c r="AD49" s="1">
        <v>356</v>
      </c>
      <c r="AE49" s="1">
        <f t="shared" si="0"/>
        <v>1760176</v>
      </c>
      <c r="AF49" s="9">
        <f t="shared" si="1"/>
        <v>7.7253638272536382E-2</v>
      </c>
      <c r="AG49" s="9">
        <f t="shared" si="2"/>
        <v>0</v>
      </c>
      <c r="AH49" s="9">
        <f t="shared" si="3"/>
        <v>1.2873712628737126E-3</v>
      </c>
      <c r="AI49" s="9">
        <f t="shared" si="4"/>
        <v>3.3972739089727394E-2</v>
      </c>
      <c r="AJ49" s="1" t="str">
        <f>IF(VLOOKUP(A49,Hospital!A:C,3,FALSE)="H","Hospital","Freestanding")</f>
        <v>Freestanding</v>
      </c>
      <c r="AK49" s="1">
        <v>2024</v>
      </c>
    </row>
    <row r="50" spans="1:37">
      <c r="A50" s="1">
        <v>17004</v>
      </c>
      <c r="B50" s="1" t="s">
        <v>215</v>
      </c>
      <c r="C50" s="1">
        <v>265669</v>
      </c>
      <c r="D50" s="1">
        <v>0</v>
      </c>
      <c r="E50" s="1">
        <v>20357</v>
      </c>
      <c r="F50" s="1">
        <v>145251</v>
      </c>
      <c r="G50" s="1">
        <v>95663</v>
      </c>
      <c r="H50" s="1">
        <v>450255</v>
      </c>
      <c r="I50" s="1">
        <v>296754</v>
      </c>
      <c r="J50" s="1">
        <v>1307455</v>
      </c>
      <c r="K50" s="1">
        <v>133022</v>
      </c>
      <c r="L50" s="1">
        <v>53643</v>
      </c>
      <c r="M50" s="1">
        <v>0</v>
      </c>
      <c r="N50" s="1">
        <v>130396</v>
      </c>
      <c r="O50" s="1">
        <v>117627</v>
      </c>
      <c r="P50" s="1">
        <v>36332</v>
      </c>
      <c r="Q50" s="1">
        <v>0</v>
      </c>
      <c r="R50" s="1">
        <v>-1654</v>
      </c>
      <c r="S50" s="1">
        <v>0</v>
      </c>
      <c r="T50" s="1">
        <v>0</v>
      </c>
      <c r="U50" s="1">
        <v>324367</v>
      </c>
      <c r="V50" s="1">
        <v>-2325</v>
      </c>
      <c r="W50" s="1">
        <v>54156</v>
      </c>
      <c r="X50" s="1">
        <v>1117</v>
      </c>
      <c r="Y50" s="1">
        <v>72987</v>
      </c>
      <c r="Z50" s="1">
        <v>1198</v>
      </c>
      <c r="AA50" s="1">
        <v>88630</v>
      </c>
      <c r="AB50" s="1">
        <v>1396</v>
      </c>
      <c r="AC50" s="1">
        <v>258752</v>
      </c>
      <c r="AD50" s="1">
        <v>-10298</v>
      </c>
      <c r="AE50" s="1">
        <f t="shared" si="0"/>
        <v>3409473</v>
      </c>
      <c r="AF50" s="9">
        <f t="shared" si="1"/>
        <v>7.7920839965589989E-2</v>
      </c>
      <c r="AG50" s="9">
        <f t="shared" si="2"/>
        <v>0</v>
      </c>
      <c r="AH50" s="9">
        <f t="shared" si="3"/>
        <v>5.9707174686527802E-3</v>
      </c>
      <c r="AI50" s="9">
        <f t="shared" si="4"/>
        <v>4.2602185147088717E-2</v>
      </c>
      <c r="AJ50" s="1" t="str">
        <f>IF(VLOOKUP(A50,Hospital!A:C,3,FALSE)="H","Hospital","Freestanding")</f>
        <v>Freestanding</v>
      </c>
      <c r="AK50" s="1">
        <v>2024</v>
      </c>
    </row>
    <row r="51" spans="1:37">
      <c r="A51" s="1">
        <v>18001</v>
      </c>
      <c r="B51" s="1" t="s">
        <v>216</v>
      </c>
      <c r="C51" s="1">
        <v>391891</v>
      </c>
      <c r="D51" s="1">
        <v>0</v>
      </c>
      <c r="E51" s="1">
        <v>5236</v>
      </c>
      <c r="F51" s="1">
        <v>199950</v>
      </c>
      <c r="G51" s="1">
        <v>585279</v>
      </c>
      <c r="H51" s="1">
        <v>1406279</v>
      </c>
      <c r="I51" s="1">
        <v>427742</v>
      </c>
      <c r="J51" s="1">
        <v>1289510</v>
      </c>
      <c r="K51" s="1">
        <v>2041</v>
      </c>
      <c r="L51" s="1">
        <v>107042</v>
      </c>
      <c r="M51" s="1">
        <v>0</v>
      </c>
      <c r="N51" s="1">
        <v>183720</v>
      </c>
      <c r="O51" s="1">
        <v>97648</v>
      </c>
      <c r="P51" s="1">
        <v>0</v>
      </c>
      <c r="Q51" s="1">
        <v>0</v>
      </c>
      <c r="R51" s="1">
        <v>9056</v>
      </c>
      <c r="S51" s="1">
        <v>0</v>
      </c>
      <c r="T51" s="1">
        <v>0</v>
      </c>
      <c r="U51" s="1">
        <v>471341</v>
      </c>
      <c r="V51" s="1">
        <v>1135</v>
      </c>
      <c r="W51" s="1">
        <v>83679</v>
      </c>
      <c r="X51" s="1">
        <v>923</v>
      </c>
      <c r="Y51" s="1">
        <v>133535</v>
      </c>
      <c r="Z51" s="1">
        <v>1594</v>
      </c>
      <c r="AA51" s="1">
        <v>132289</v>
      </c>
      <c r="AB51" s="1">
        <v>-923</v>
      </c>
      <c r="AC51" s="1">
        <v>240361</v>
      </c>
      <c r="AD51" s="1">
        <v>-2465</v>
      </c>
      <c r="AE51" s="1">
        <f t="shared" si="0"/>
        <v>5169786</v>
      </c>
      <c r="AF51" s="9">
        <f t="shared" si="1"/>
        <v>7.5804104850761708E-2</v>
      </c>
      <c r="AG51" s="9">
        <f t="shared" si="2"/>
        <v>0</v>
      </c>
      <c r="AH51" s="9">
        <f t="shared" si="3"/>
        <v>1.0128078802488149E-3</v>
      </c>
      <c r="AI51" s="9">
        <f t="shared" si="4"/>
        <v>3.8676649284902699E-2</v>
      </c>
      <c r="AJ51" s="1" t="str">
        <f>IF(VLOOKUP(A51,Hospital!A:C,3,FALSE)="H","Hospital","Freestanding")</f>
        <v>Freestanding</v>
      </c>
      <c r="AK51" s="1">
        <v>2024</v>
      </c>
    </row>
    <row r="52" spans="1:37">
      <c r="A52" s="1">
        <v>18002</v>
      </c>
      <c r="B52" s="1" t="s">
        <v>217</v>
      </c>
      <c r="C52" s="1">
        <v>0</v>
      </c>
      <c r="D52" s="1">
        <v>0</v>
      </c>
      <c r="E52" s="1">
        <v>0</v>
      </c>
      <c r="F52" s="1">
        <v>0</v>
      </c>
      <c r="G52" s="1">
        <v>658097</v>
      </c>
      <c r="H52" s="1">
        <v>743932</v>
      </c>
      <c r="I52" s="1">
        <v>299109</v>
      </c>
      <c r="J52" s="1">
        <v>906787</v>
      </c>
      <c r="K52" s="1">
        <v>0</v>
      </c>
      <c r="L52" s="1">
        <v>97688</v>
      </c>
      <c r="M52" s="1">
        <v>0</v>
      </c>
      <c r="N52" s="1">
        <v>44576</v>
      </c>
      <c r="O52" s="1">
        <v>126052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f t="shared" si="0"/>
        <v>2876241</v>
      </c>
      <c r="AF52" s="9">
        <f t="shared" si="1"/>
        <v>0</v>
      </c>
      <c r="AG52" s="9">
        <f t="shared" si="2"/>
        <v>0</v>
      </c>
      <c r="AH52" s="9">
        <f t="shared" si="3"/>
        <v>0</v>
      </c>
      <c r="AI52" s="9">
        <f t="shared" si="4"/>
        <v>0</v>
      </c>
      <c r="AJ52" s="1" t="str">
        <f>IF(VLOOKUP(A52,Hospital!A:C,3,FALSE)="H","Hospital","Freestanding")</f>
        <v>Hospital</v>
      </c>
      <c r="AK52" s="1">
        <v>2024</v>
      </c>
    </row>
    <row r="53" spans="1:37">
      <c r="A53" s="1">
        <v>18003</v>
      </c>
      <c r="B53" s="1" t="s">
        <v>218</v>
      </c>
      <c r="C53" s="1">
        <v>209667</v>
      </c>
      <c r="D53" s="1">
        <v>0</v>
      </c>
      <c r="E53" s="1">
        <v>21400</v>
      </c>
      <c r="F53" s="1">
        <v>102845</v>
      </c>
      <c r="G53" s="1">
        <v>216309</v>
      </c>
      <c r="H53" s="1">
        <v>473994</v>
      </c>
      <c r="I53" s="1">
        <v>221690</v>
      </c>
      <c r="J53" s="1">
        <v>832622</v>
      </c>
      <c r="K53" s="1">
        <v>58383</v>
      </c>
      <c r="L53" s="1">
        <v>49150</v>
      </c>
      <c r="M53" s="1">
        <v>0</v>
      </c>
      <c r="N53" s="1">
        <v>77911</v>
      </c>
      <c r="O53" s="1">
        <v>73359</v>
      </c>
      <c r="P53" s="1">
        <v>0</v>
      </c>
      <c r="Q53" s="1">
        <v>0</v>
      </c>
      <c r="R53" s="1">
        <v>-6382</v>
      </c>
      <c r="S53" s="1">
        <v>0</v>
      </c>
      <c r="T53" s="1">
        <v>0</v>
      </c>
      <c r="U53" s="1">
        <v>341492</v>
      </c>
      <c r="V53" s="1">
        <v>-1292</v>
      </c>
      <c r="W53" s="1">
        <v>41160</v>
      </c>
      <c r="X53" s="1">
        <v>130</v>
      </c>
      <c r="Y53" s="1">
        <v>39209</v>
      </c>
      <c r="Z53" s="1">
        <v>-714</v>
      </c>
      <c r="AA53" s="1">
        <v>45972</v>
      </c>
      <c r="AB53" s="1">
        <v>545</v>
      </c>
      <c r="AC53" s="1">
        <v>221727</v>
      </c>
      <c r="AD53" s="1">
        <v>-2337</v>
      </c>
      <c r="AE53" s="1">
        <f t="shared" si="0"/>
        <v>2682928</v>
      </c>
      <c r="AF53" s="9">
        <f t="shared" si="1"/>
        <v>7.8148574989712727E-2</v>
      </c>
      <c r="AG53" s="9">
        <f t="shared" si="2"/>
        <v>0</v>
      </c>
      <c r="AH53" s="9">
        <f t="shared" si="3"/>
        <v>7.9763601557701139E-3</v>
      </c>
      <c r="AI53" s="9">
        <f t="shared" si="4"/>
        <v>3.8333119636456886E-2</v>
      </c>
      <c r="AJ53" s="1" t="str">
        <f>IF(VLOOKUP(A53,Hospital!A:C,3,FALSE)="H","Hospital","Freestanding")</f>
        <v>Freestanding</v>
      </c>
      <c r="AK53" s="1">
        <v>2024</v>
      </c>
    </row>
    <row r="54" spans="1:37">
      <c r="A54" s="1">
        <v>19001</v>
      </c>
      <c r="B54" s="1" t="s">
        <v>219</v>
      </c>
      <c r="C54" s="1">
        <v>762699</v>
      </c>
      <c r="D54" s="1">
        <v>197</v>
      </c>
      <c r="E54" s="1">
        <v>155340</v>
      </c>
      <c r="F54" s="1">
        <v>307235</v>
      </c>
      <c r="G54" s="1">
        <v>843780</v>
      </c>
      <c r="H54" s="1">
        <v>2940615</v>
      </c>
      <c r="I54" s="1">
        <v>1214095</v>
      </c>
      <c r="J54" s="1">
        <v>2848833</v>
      </c>
      <c r="K54" s="1">
        <v>82152</v>
      </c>
      <c r="L54" s="1">
        <v>288058</v>
      </c>
      <c r="M54" s="1">
        <v>0</v>
      </c>
      <c r="N54" s="1">
        <v>310853</v>
      </c>
      <c r="O54" s="1">
        <v>243533</v>
      </c>
      <c r="P54" s="1">
        <v>75090</v>
      </c>
      <c r="Q54" s="1">
        <v>102478</v>
      </c>
      <c r="R54" s="1">
        <v>27685</v>
      </c>
      <c r="S54" s="1">
        <v>0</v>
      </c>
      <c r="T54" s="1">
        <v>0</v>
      </c>
      <c r="U54" s="1">
        <v>591434</v>
      </c>
      <c r="V54" s="1">
        <v>-2130</v>
      </c>
      <c r="W54" s="1">
        <v>0</v>
      </c>
      <c r="X54" s="1">
        <v>8516</v>
      </c>
      <c r="Y54" s="1">
        <v>424832</v>
      </c>
      <c r="Z54" s="1">
        <v>-1347</v>
      </c>
      <c r="AA54" s="1">
        <v>123148</v>
      </c>
      <c r="AB54" s="1">
        <v>-2890</v>
      </c>
      <c r="AC54" s="1">
        <v>314628</v>
      </c>
      <c r="AD54" s="1">
        <v>28467</v>
      </c>
      <c r="AE54" s="1">
        <f t="shared" si="0"/>
        <v>10461830</v>
      </c>
      <c r="AF54" s="9">
        <f t="shared" si="1"/>
        <v>7.2903019834961946E-2</v>
      </c>
      <c r="AG54" s="9">
        <f t="shared" si="2"/>
        <v>1.8830357595181721E-5</v>
      </c>
      <c r="AH54" s="9">
        <f t="shared" si="3"/>
        <v>1.4848262684444308E-2</v>
      </c>
      <c r="AI54" s="9">
        <f t="shared" si="4"/>
        <v>2.936723307490181E-2</v>
      </c>
      <c r="AJ54" s="1" t="str">
        <f>IF(VLOOKUP(A54,Hospital!A:C,3,FALSE)="H","Hospital","Freestanding")</f>
        <v>Freestanding</v>
      </c>
      <c r="AK54" s="1">
        <v>2024</v>
      </c>
    </row>
    <row r="55" spans="1:37">
      <c r="A55" s="1">
        <v>19002</v>
      </c>
      <c r="B55" s="1" t="s">
        <v>220</v>
      </c>
      <c r="C55" s="1">
        <v>753423</v>
      </c>
      <c r="D55" s="1">
        <v>48385</v>
      </c>
      <c r="E55" s="1">
        <v>103913</v>
      </c>
      <c r="F55" s="1">
        <v>136784</v>
      </c>
      <c r="G55" s="1">
        <v>407075</v>
      </c>
      <c r="H55" s="1">
        <v>1395309</v>
      </c>
      <c r="I55" s="1">
        <v>1558600</v>
      </c>
      <c r="J55" s="1">
        <v>2780904</v>
      </c>
      <c r="K55" s="1">
        <v>483528</v>
      </c>
      <c r="L55" s="1">
        <v>193791</v>
      </c>
      <c r="M55" s="1">
        <v>0</v>
      </c>
      <c r="N55" s="1">
        <v>433503</v>
      </c>
      <c r="O55" s="1">
        <v>185460</v>
      </c>
      <c r="P55" s="1">
        <v>48305</v>
      </c>
      <c r="Q55" s="1">
        <v>91641</v>
      </c>
      <c r="R55" s="1">
        <v>0</v>
      </c>
      <c r="S55" s="1">
        <v>0</v>
      </c>
      <c r="T55" s="1">
        <v>0</v>
      </c>
      <c r="U55" s="1">
        <v>924535</v>
      </c>
      <c r="V55" s="1">
        <v>0</v>
      </c>
      <c r="W55" s="1">
        <v>177277</v>
      </c>
      <c r="X55" s="1">
        <v>0</v>
      </c>
      <c r="Y55" s="1">
        <v>724490</v>
      </c>
      <c r="Z55" s="1">
        <v>0</v>
      </c>
      <c r="AA55" s="1">
        <v>193832</v>
      </c>
      <c r="AB55" s="1">
        <v>0</v>
      </c>
      <c r="AC55" s="1">
        <v>562262</v>
      </c>
      <c r="AD55" s="1">
        <v>0</v>
      </c>
      <c r="AE55" s="1">
        <f t="shared" si="0"/>
        <v>10160512</v>
      </c>
      <c r="AF55" s="9">
        <f t="shared" si="1"/>
        <v>7.415207028937125E-2</v>
      </c>
      <c r="AG55" s="9">
        <f t="shared" si="2"/>
        <v>4.762063171619698E-3</v>
      </c>
      <c r="AH55" s="9">
        <f t="shared" si="3"/>
        <v>1.0227142096776226E-2</v>
      </c>
      <c r="AI55" s="9">
        <f t="shared" si="4"/>
        <v>1.3462313710175235E-2</v>
      </c>
      <c r="AJ55" s="1" t="str">
        <f>IF(VLOOKUP(A55,Hospital!A:C,3,FALSE)="H","Hospital","Freestanding")</f>
        <v>Freestanding</v>
      </c>
      <c r="AK55" s="1">
        <v>2024</v>
      </c>
    </row>
    <row r="56" spans="1:37">
      <c r="A56" s="1">
        <v>19003</v>
      </c>
      <c r="B56" s="1" t="s">
        <v>221</v>
      </c>
      <c r="C56" s="1">
        <v>431193</v>
      </c>
      <c r="D56" s="1">
        <v>7331</v>
      </c>
      <c r="E56" s="1">
        <v>81384</v>
      </c>
      <c r="F56" s="1">
        <v>176810</v>
      </c>
      <c r="G56" s="1">
        <v>241116</v>
      </c>
      <c r="H56" s="1">
        <v>1116186</v>
      </c>
      <c r="I56" s="1">
        <v>721772</v>
      </c>
      <c r="J56" s="1">
        <v>2145665</v>
      </c>
      <c r="K56" s="1">
        <v>163208</v>
      </c>
      <c r="L56" s="1">
        <v>113885</v>
      </c>
      <c r="M56" s="1">
        <v>0</v>
      </c>
      <c r="N56" s="1">
        <v>154486</v>
      </c>
      <c r="O56" s="1">
        <v>156779</v>
      </c>
      <c r="P56" s="1">
        <v>7371</v>
      </c>
      <c r="Q56" s="1">
        <v>0</v>
      </c>
      <c r="R56" s="1">
        <v>28900</v>
      </c>
      <c r="S56" s="1">
        <v>0</v>
      </c>
      <c r="T56" s="1">
        <v>0</v>
      </c>
      <c r="U56" s="1">
        <v>416876</v>
      </c>
      <c r="V56" s="1">
        <v>309</v>
      </c>
      <c r="W56" s="1">
        <v>62225</v>
      </c>
      <c r="X56" s="1">
        <v>-749</v>
      </c>
      <c r="Y56" s="1">
        <v>216249</v>
      </c>
      <c r="Z56" s="1">
        <v>-7209</v>
      </c>
      <c r="AA56" s="1">
        <v>104440</v>
      </c>
      <c r="AB56" s="1">
        <v>3048</v>
      </c>
      <c r="AC56" s="1">
        <v>292723</v>
      </c>
      <c r="AD56" s="1">
        <v>3183</v>
      </c>
      <c r="AE56" s="1">
        <f t="shared" si="0"/>
        <v>5940463</v>
      </c>
      <c r="AF56" s="9">
        <f t="shared" si="1"/>
        <v>7.2585756362761628E-2</v>
      </c>
      <c r="AG56" s="9">
        <f t="shared" si="2"/>
        <v>1.2340788925038334E-3</v>
      </c>
      <c r="AH56" s="9">
        <f t="shared" si="3"/>
        <v>1.3699942243559129E-2</v>
      </c>
      <c r="AI56" s="9">
        <f t="shared" si="4"/>
        <v>2.9763673302905851E-2</v>
      </c>
      <c r="AJ56" s="1" t="str">
        <f>IF(VLOOKUP(A56,Hospital!A:C,3,FALSE)="H","Hospital","Freestanding")</f>
        <v>Freestanding</v>
      </c>
      <c r="AK56" s="1">
        <v>2024</v>
      </c>
    </row>
    <row r="57" spans="1:37">
      <c r="A57" s="1">
        <v>19005</v>
      </c>
      <c r="B57" s="1" t="s">
        <v>222</v>
      </c>
      <c r="C57" s="1">
        <v>362469</v>
      </c>
      <c r="D57" s="1">
        <v>9066</v>
      </c>
      <c r="E57" s="1">
        <v>93415</v>
      </c>
      <c r="F57" s="1">
        <v>0</v>
      </c>
      <c r="G57" s="1">
        <v>388248</v>
      </c>
      <c r="H57" s="1">
        <v>1680734</v>
      </c>
      <c r="I57" s="1">
        <v>198238</v>
      </c>
      <c r="J57" s="1">
        <v>1500334</v>
      </c>
      <c r="K57" s="1">
        <v>45101</v>
      </c>
      <c r="L57" s="1">
        <v>109116</v>
      </c>
      <c r="M57" s="1">
        <v>0</v>
      </c>
      <c r="N57" s="1">
        <v>158004</v>
      </c>
      <c r="O57" s="1">
        <v>107321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364357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124157</v>
      </c>
      <c r="AB57" s="1">
        <v>0</v>
      </c>
      <c r="AC57" s="1">
        <v>176394</v>
      </c>
      <c r="AD57" s="1">
        <v>0</v>
      </c>
      <c r="AE57" s="1">
        <f t="shared" si="0"/>
        <v>4852004</v>
      </c>
      <c r="AF57" s="9">
        <f t="shared" si="1"/>
        <v>7.4705008487214772E-2</v>
      </c>
      <c r="AG57" s="9">
        <f t="shared" si="2"/>
        <v>1.8685062914210293E-3</v>
      </c>
      <c r="AH57" s="9">
        <f t="shared" si="3"/>
        <v>1.9252869535969056E-2</v>
      </c>
      <c r="AI57" s="9">
        <f t="shared" si="4"/>
        <v>0</v>
      </c>
      <c r="AJ57" s="1" t="str">
        <f>IF(VLOOKUP(A57,Hospital!A:C,3,FALSE)="H","Hospital","Freestanding")</f>
        <v>Freestanding</v>
      </c>
      <c r="AK57" s="1">
        <v>2024</v>
      </c>
    </row>
    <row r="58" spans="1:37">
      <c r="A58" s="1">
        <v>19007</v>
      </c>
      <c r="B58" s="1" t="s">
        <v>223</v>
      </c>
      <c r="C58" s="1">
        <v>1017103</v>
      </c>
      <c r="D58" s="1">
        <v>14432</v>
      </c>
      <c r="E58" s="1">
        <v>72256</v>
      </c>
      <c r="F58" s="1">
        <v>254842</v>
      </c>
      <c r="G58" s="1">
        <v>802197</v>
      </c>
      <c r="H58" s="1">
        <v>3010708</v>
      </c>
      <c r="I58" s="1">
        <v>1731480</v>
      </c>
      <c r="J58" s="1">
        <v>4108317</v>
      </c>
      <c r="K58" s="1">
        <v>87605</v>
      </c>
      <c r="L58" s="1">
        <v>467859</v>
      </c>
      <c r="M58" s="1">
        <v>0</v>
      </c>
      <c r="N58" s="1">
        <v>456412</v>
      </c>
      <c r="O58" s="1">
        <v>254202</v>
      </c>
      <c r="P58" s="1">
        <v>224591</v>
      </c>
      <c r="Q58" s="1">
        <v>85180</v>
      </c>
      <c r="R58" s="1">
        <v>0</v>
      </c>
      <c r="S58" s="1">
        <v>0</v>
      </c>
      <c r="T58" s="1">
        <v>0</v>
      </c>
      <c r="U58" s="1">
        <v>1003391</v>
      </c>
      <c r="V58" s="1">
        <v>0</v>
      </c>
      <c r="W58" s="1">
        <v>110303</v>
      </c>
      <c r="X58" s="1">
        <v>0</v>
      </c>
      <c r="Y58" s="1">
        <v>523491</v>
      </c>
      <c r="Z58" s="1">
        <v>0</v>
      </c>
      <c r="AA58" s="1">
        <v>218805</v>
      </c>
      <c r="AB58" s="1">
        <v>0</v>
      </c>
      <c r="AC58" s="1">
        <v>583043</v>
      </c>
      <c r="AD58" s="1">
        <v>0</v>
      </c>
      <c r="AE58" s="1">
        <f t="shared" si="0"/>
        <v>13667584</v>
      </c>
      <c r="AF58" s="9">
        <f t="shared" si="1"/>
        <v>7.4417175705669705E-2</v>
      </c>
      <c r="AG58" s="9">
        <f t="shared" si="2"/>
        <v>1.0559291239768491E-3</v>
      </c>
      <c r="AH58" s="9">
        <f t="shared" si="3"/>
        <v>5.2866695386690138E-3</v>
      </c>
      <c r="AI58" s="9">
        <f t="shared" si="4"/>
        <v>1.864572407237446E-2</v>
      </c>
      <c r="AJ58" s="1" t="str">
        <f>IF(VLOOKUP(A58,Hospital!A:C,3,FALSE)="H","Hospital","Freestanding")</f>
        <v>Freestanding</v>
      </c>
      <c r="AK58" s="1">
        <v>2024</v>
      </c>
    </row>
    <row r="59" spans="1:37">
      <c r="A59" s="1">
        <v>19008</v>
      </c>
      <c r="B59" s="1" t="s">
        <v>224</v>
      </c>
      <c r="C59" s="1">
        <v>214128</v>
      </c>
      <c r="D59" s="1">
        <v>14255</v>
      </c>
      <c r="E59" s="1">
        <v>30197</v>
      </c>
      <c r="F59" s="1">
        <v>28501</v>
      </c>
      <c r="G59" s="1">
        <v>217512</v>
      </c>
      <c r="H59" s="1">
        <v>540399</v>
      </c>
      <c r="I59" s="1">
        <v>452603</v>
      </c>
      <c r="J59" s="1">
        <v>864325</v>
      </c>
      <c r="K59" s="1">
        <v>19138</v>
      </c>
      <c r="L59" s="1">
        <v>60773</v>
      </c>
      <c r="M59" s="1">
        <v>0</v>
      </c>
      <c r="N59" s="1">
        <v>53173</v>
      </c>
      <c r="O59" s="1">
        <v>77923</v>
      </c>
      <c r="P59" s="1">
        <v>38189</v>
      </c>
      <c r="Q59" s="1">
        <v>0</v>
      </c>
      <c r="R59" s="1">
        <v>28795</v>
      </c>
      <c r="S59" s="1">
        <v>0</v>
      </c>
      <c r="T59" s="1">
        <v>0</v>
      </c>
      <c r="U59" s="1">
        <v>54880</v>
      </c>
      <c r="V59" s="1">
        <v>0</v>
      </c>
      <c r="W59" s="1">
        <v>0</v>
      </c>
      <c r="X59" s="1">
        <v>0</v>
      </c>
      <c r="Y59" s="1">
        <v>116203</v>
      </c>
      <c r="Z59" s="1">
        <v>-3731</v>
      </c>
      <c r="AA59" s="1">
        <v>103057</v>
      </c>
      <c r="AB59" s="1">
        <v>3558</v>
      </c>
      <c r="AC59" s="1">
        <v>261546</v>
      </c>
      <c r="AD59" s="1">
        <v>3157</v>
      </c>
      <c r="AE59" s="1">
        <f t="shared" si="0"/>
        <v>2891500</v>
      </c>
      <c r="AF59" s="9">
        <f t="shared" si="1"/>
        <v>7.4054297077641357E-2</v>
      </c>
      <c r="AG59" s="9">
        <f t="shared" si="2"/>
        <v>4.9299671450804081E-3</v>
      </c>
      <c r="AH59" s="9">
        <f t="shared" si="3"/>
        <v>1.0443368493861318E-2</v>
      </c>
      <c r="AI59" s="9">
        <f t="shared" si="4"/>
        <v>9.8568217188310572E-3</v>
      </c>
      <c r="AJ59" s="1" t="str">
        <f>IF(VLOOKUP(A59,Hospital!A:C,3,FALSE)="H","Hospital","Freestanding")</f>
        <v>Freestanding</v>
      </c>
      <c r="AK59" s="1">
        <v>2024</v>
      </c>
    </row>
    <row r="60" spans="1:37">
      <c r="A60" s="1">
        <v>19009</v>
      </c>
      <c r="B60" s="1" t="s">
        <v>225</v>
      </c>
      <c r="C60" s="1">
        <v>174282</v>
      </c>
      <c r="D60" s="1">
        <v>0</v>
      </c>
      <c r="E60" s="1">
        <v>67332</v>
      </c>
      <c r="F60" s="1">
        <v>54480</v>
      </c>
      <c r="G60" s="1">
        <v>195300</v>
      </c>
      <c r="H60" s="1">
        <v>490461</v>
      </c>
      <c r="I60" s="1">
        <v>255637</v>
      </c>
      <c r="J60" s="1">
        <v>548144</v>
      </c>
      <c r="K60" s="1">
        <v>1299</v>
      </c>
      <c r="L60" s="1">
        <v>45556</v>
      </c>
      <c r="M60" s="1">
        <v>0</v>
      </c>
      <c r="N60" s="1">
        <v>91838</v>
      </c>
      <c r="O60" s="1">
        <v>34294</v>
      </c>
      <c r="P60" s="1">
        <v>0</v>
      </c>
      <c r="Q60" s="1">
        <v>0</v>
      </c>
      <c r="R60" s="1">
        <v>22169</v>
      </c>
      <c r="S60" s="1">
        <v>0</v>
      </c>
      <c r="T60" s="1">
        <v>0</v>
      </c>
      <c r="U60" s="1">
        <v>263488</v>
      </c>
      <c r="V60" s="1">
        <v>-363</v>
      </c>
      <c r="W60" s="1">
        <v>53493</v>
      </c>
      <c r="X60" s="1">
        <v>-10</v>
      </c>
      <c r="Y60" s="1">
        <v>38844</v>
      </c>
      <c r="Z60" s="1">
        <v>-402</v>
      </c>
      <c r="AA60" s="1">
        <v>74403</v>
      </c>
      <c r="AB60" s="1">
        <v>4244</v>
      </c>
      <c r="AC60" s="1">
        <v>219954</v>
      </c>
      <c r="AD60" s="1">
        <v>2369</v>
      </c>
      <c r="AE60" s="1">
        <f t="shared" si="0"/>
        <v>2340718</v>
      </c>
      <c r="AF60" s="9">
        <f t="shared" si="1"/>
        <v>7.445664108192443E-2</v>
      </c>
      <c r="AG60" s="9">
        <f t="shared" si="2"/>
        <v>0</v>
      </c>
      <c r="AH60" s="9">
        <f t="shared" si="3"/>
        <v>2.8765532627168244E-2</v>
      </c>
      <c r="AI60" s="9">
        <f t="shared" si="4"/>
        <v>2.3274909664470475E-2</v>
      </c>
      <c r="AJ60" s="1" t="str">
        <f>IF(VLOOKUP(A60,Hospital!A:C,3,FALSE)="H","Hospital","Freestanding")</f>
        <v>Freestanding</v>
      </c>
      <c r="AK60" s="1">
        <v>2024</v>
      </c>
    </row>
    <row r="61" spans="1:37">
      <c r="A61" s="1">
        <v>19010</v>
      </c>
      <c r="B61" s="1" t="s">
        <v>226</v>
      </c>
      <c r="C61" s="1">
        <v>411061</v>
      </c>
      <c r="D61" s="1">
        <v>2168</v>
      </c>
      <c r="E61" s="1">
        <v>21365</v>
      </c>
      <c r="F61" s="1">
        <v>81487</v>
      </c>
      <c r="G61" s="1">
        <v>440839</v>
      </c>
      <c r="H61" s="1">
        <v>1098168</v>
      </c>
      <c r="I61" s="1">
        <v>830738</v>
      </c>
      <c r="J61" s="1">
        <v>1353038</v>
      </c>
      <c r="K61" s="1">
        <v>49507</v>
      </c>
      <c r="L61" s="1">
        <v>186611</v>
      </c>
      <c r="M61" s="1">
        <v>0</v>
      </c>
      <c r="N61" s="1">
        <v>91628</v>
      </c>
      <c r="O61" s="1">
        <v>125083</v>
      </c>
      <c r="P61" s="1">
        <v>156914</v>
      </c>
      <c r="Q61" s="1">
        <v>88548</v>
      </c>
      <c r="R61" s="1">
        <v>0</v>
      </c>
      <c r="S61" s="1">
        <v>0</v>
      </c>
      <c r="T61" s="1">
        <v>0</v>
      </c>
      <c r="U61" s="1">
        <v>457212</v>
      </c>
      <c r="V61" s="1">
        <v>0</v>
      </c>
      <c r="W61" s="1">
        <v>78765</v>
      </c>
      <c r="X61" s="1">
        <v>0</v>
      </c>
      <c r="Y61" s="1">
        <v>269607</v>
      </c>
      <c r="Z61" s="1">
        <v>0</v>
      </c>
      <c r="AA61" s="1">
        <v>72876</v>
      </c>
      <c r="AB61" s="1">
        <v>0</v>
      </c>
      <c r="AC61" s="1">
        <v>293356</v>
      </c>
      <c r="AD61" s="1">
        <v>0</v>
      </c>
      <c r="AE61" s="1">
        <f t="shared" si="0"/>
        <v>5592890</v>
      </c>
      <c r="AF61" s="9">
        <f t="shared" si="1"/>
        <v>7.3497065023628211E-2</v>
      </c>
      <c r="AG61" s="9">
        <f t="shared" si="2"/>
        <v>3.8763501517104752E-4</v>
      </c>
      <c r="AH61" s="9">
        <f t="shared" si="3"/>
        <v>3.8200286435098848E-3</v>
      </c>
      <c r="AI61" s="9">
        <f t="shared" si="4"/>
        <v>1.4569748376957172E-2</v>
      </c>
      <c r="AJ61" s="1" t="str">
        <f>IF(VLOOKUP(A61,Hospital!A:C,3,FALSE)="H","Hospital","Freestanding")</f>
        <v>Freestanding</v>
      </c>
      <c r="AK61" s="1">
        <v>2024</v>
      </c>
    </row>
    <row r="62" spans="1:37">
      <c r="A62" s="1">
        <v>20001</v>
      </c>
      <c r="B62" s="1" t="s">
        <v>227</v>
      </c>
      <c r="C62" s="1">
        <v>286912</v>
      </c>
      <c r="D62" s="1">
        <v>0</v>
      </c>
      <c r="E62" s="1">
        <v>59797</v>
      </c>
      <c r="F62" s="1">
        <v>0</v>
      </c>
      <c r="G62" s="1">
        <v>257222</v>
      </c>
      <c r="H62" s="1">
        <v>317045</v>
      </c>
      <c r="I62" s="1">
        <v>371050</v>
      </c>
      <c r="J62" s="1">
        <v>1103001</v>
      </c>
      <c r="K62" s="1">
        <v>124498</v>
      </c>
      <c r="L62" s="1">
        <v>152667</v>
      </c>
      <c r="M62" s="1">
        <v>0</v>
      </c>
      <c r="N62" s="1">
        <v>109189</v>
      </c>
      <c r="O62" s="1">
        <v>163365</v>
      </c>
      <c r="P62" s="1">
        <v>75288</v>
      </c>
      <c r="Q62" s="1">
        <v>0</v>
      </c>
      <c r="R62" s="1">
        <v>-51621</v>
      </c>
      <c r="S62" s="1">
        <v>0</v>
      </c>
      <c r="T62" s="1">
        <v>0</v>
      </c>
      <c r="U62" s="1">
        <v>398414</v>
      </c>
      <c r="V62" s="1">
        <v>4291</v>
      </c>
      <c r="W62" s="1">
        <v>53823</v>
      </c>
      <c r="X62" s="1">
        <v>285</v>
      </c>
      <c r="Y62" s="1">
        <v>162822</v>
      </c>
      <c r="Z62" s="1">
        <v>297</v>
      </c>
      <c r="AA62" s="1">
        <v>126818</v>
      </c>
      <c r="AB62" s="1">
        <v>2010</v>
      </c>
      <c r="AC62" s="1">
        <v>309785</v>
      </c>
      <c r="AD62" s="1">
        <v>12787</v>
      </c>
      <c r="AE62" s="1">
        <f t="shared" si="0"/>
        <v>3693036</v>
      </c>
      <c r="AF62" s="9">
        <f t="shared" si="1"/>
        <v>7.7690008979062211E-2</v>
      </c>
      <c r="AG62" s="9">
        <f t="shared" si="2"/>
        <v>0</v>
      </c>
      <c r="AH62" s="9">
        <f t="shared" si="3"/>
        <v>1.6191826995458479E-2</v>
      </c>
      <c r="AI62" s="9">
        <f t="shared" si="4"/>
        <v>0</v>
      </c>
      <c r="AJ62" s="1" t="str">
        <f>IF(VLOOKUP(A62,Hospital!A:C,3,FALSE)="H","Hospital","Freestanding")</f>
        <v>Freestanding</v>
      </c>
      <c r="AK62" s="1">
        <v>2024</v>
      </c>
    </row>
    <row r="63" spans="1:37">
      <c r="A63" s="1">
        <v>20002</v>
      </c>
      <c r="B63" s="1" t="s">
        <v>228</v>
      </c>
      <c r="C63" s="1">
        <v>209458</v>
      </c>
      <c r="D63" s="1">
        <v>1746</v>
      </c>
      <c r="E63" s="1">
        <v>34586</v>
      </c>
      <c r="F63" s="1">
        <v>0</v>
      </c>
      <c r="G63" s="1">
        <v>111764</v>
      </c>
      <c r="H63" s="1">
        <v>355046</v>
      </c>
      <c r="I63" s="1">
        <v>304430</v>
      </c>
      <c r="J63" s="1">
        <v>833651</v>
      </c>
      <c r="K63" s="1">
        <v>120595</v>
      </c>
      <c r="L63" s="1">
        <v>108960</v>
      </c>
      <c r="M63" s="1">
        <v>0</v>
      </c>
      <c r="N63" s="1">
        <v>53037</v>
      </c>
      <c r="O63" s="1">
        <v>113506</v>
      </c>
      <c r="P63" s="1">
        <v>0</v>
      </c>
      <c r="Q63" s="1">
        <v>0</v>
      </c>
      <c r="R63" s="1">
        <v>3986</v>
      </c>
      <c r="S63" s="1">
        <v>0</v>
      </c>
      <c r="T63" s="1">
        <v>0</v>
      </c>
      <c r="U63" s="1">
        <v>189425</v>
      </c>
      <c r="V63" s="1">
        <v>-326</v>
      </c>
      <c r="W63" s="1">
        <v>35869</v>
      </c>
      <c r="X63" s="1">
        <v>-165</v>
      </c>
      <c r="Y63" s="1">
        <v>201519</v>
      </c>
      <c r="Z63" s="1">
        <v>2231</v>
      </c>
      <c r="AA63" s="1">
        <v>56787</v>
      </c>
      <c r="AB63" s="1">
        <v>-1198</v>
      </c>
      <c r="AC63" s="1">
        <v>319518</v>
      </c>
      <c r="AD63" s="1">
        <v>-4617</v>
      </c>
      <c r="AE63" s="1">
        <f t="shared" si="0"/>
        <v>2804018</v>
      </c>
      <c r="AF63" s="9">
        <f t="shared" si="1"/>
        <v>7.4699235168961112E-2</v>
      </c>
      <c r="AG63" s="9">
        <f t="shared" si="2"/>
        <v>6.2267788580529801E-4</v>
      </c>
      <c r="AH63" s="9">
        <f t="shared" si="3"/>
        <v>1.2334442931536103E-2</v>
      </c>
      <c r="AI63" s="9">
        <f t="shared" si="4"/>
        <v>0</v>
      </c>
      <c r="AJ63" s="1" t="str">
        <f>IF(VLOOKUP(A63,Hospital!A:C,3,FALSE)="H","Hospital","Freestanding")</f>
        <v>Freestanding</v>
      </c>
      <c r="AK63" s="1">
        <v>2024</v>
      </c>
    </row>
    <row r="64" spans="1:37">
      <c r="A64" s="1">
        <v>21001</v>
      </c>
      <c r="B64" s="1" t="s">
        <v>229</v>
      </c>
      <c r="C64" s="1">
        <v>371331</v>
      </c>
      <c r="D64" s="1">
        <v>477</v>
      </c>
      <c r="E64" s="1">
        <v>83627</v>
      </c>
      <c r="F64" s="1">
        <v>121682</v>
      </c>
      <c r="G64" s="1">
        <v>103727</v>
      </c>
      <c r="H64" s="1">
        <v>1029979</v>
      </c>
      <c r="I64" s="1">
        <v>765705</v>
      </c>
      <c r="J64" s="1">
        <v>1573771</v>
      </c>
      <c r="K64" s="1">
        <v>3797</v>
      </c>
      <c r="L64" s="1">
        <v>56341</v>
      </c>
      <c r="M64" s="1">
        <v>0</v>
      </c>
      <c r="N64" s="1">
        <v>72747</v>
      </c>
      <c r="O64" s="1">
        <v>139667</v>
      </c>
      <c r="P64" s="1">
        <v>54007</v>
      </c>
      <c r="Q64" s="1">
        <v>0</v>
      </c>
      <c r="R64" s="1">
        <v>-23525</v>
      </c>
      <c r="S64" s="1">
        <v>0</v>
      </c>
      <c r="T64" s="1">
        <v>0</v>
      </c>
      <c r="U64" s="1">
        <v>345631</v>
      </c>
      <c r="V64" s="1">
        <v>-6072</v>
      </c>
      <c r="W64" s="1">
        <v>101918</v>
      </c>
      <c r="X64" s="1">
        <v>-169</v>
      </c>
      <c r="Y64" s="1">
        <v>159144</v>
      </c>
      <c r="Z64" s="1">
        <v>316</v>
      </c>
      <c r="AA64" s="1">
        <v>146200</v>
      </c>
      <c r="AB64" s="1">
        <v>-121</v>
      </c>
      <c r="AC64" s="1">
        <v>260231</v>
      </c>
      <c r="AD64" s="1">
        <v>-4856</v>
      </c>
      <c r="AE64" s="1">
        <f t="shared" si="0"/>
        <v>4778438</v>
      </c>
      <c r="AF64" s="9">
        <f t="shared" si="1"/>
        <v>7.7709703463767862E-2</v>
      </c>
      <c r="AG64" s="9">
        <f t="shared" si="2"/>
        <v>9.9823415099243725E-5</v>
      </c>
      <c r="AH64" s="9">
        <f t="shared" si="3"/>
        <v>1.7500907200218983E-2</v>
      </c>
      <c r="AI64" s="9">
        <f t="shared" si="4"/>
        <v>2.5464806700432233E-2</v>
      </c>
      <c r="AJ64" s="1" t="str">
        <f>IF(VLOOKUP(A64,Hospital!A:C,3,FALSE)="H","Hospital","Freestanding")</f>
        <v>Freestanding</v>
      </c>
      <c r="AK64" s="1">
        <v>2024</v>
      </c>
    </row>
    <row r="65" spans="1:37">
      <c r="A65" s="1">
        <v>21002</v>
      </c>
      <c r="B65" s="1" t="s">
        <v>230</v>
      </c>
      <c r="C65" s="1">
        <v>141230</v>
      </c>
      <c r="D65" s="1">
        <v>6949</v>
      </c>
      <c r="E65" s="1">
        <v>29280</v>
      </c>
      <c r="F65" s="1">
        <v>39363</v>
      </c>
      <c r="G65" s="1">
        <v>191701</v>
      </c>
      <c r="H65" s="1">
        <v>326204</v>
      </c>
      <c r="I65" s="1">
        <v>166943</v>
      </c>
      <c r="J65" s="1">
        <v>547177</v>
      </c>
      <c r="K65" s="1">
        <v>560</v>
      </c>
      <c r="L65" s="1">
        <v>11566</v>
      </c>
      <c r="M65" s="1">
        <v>0</v>
      </c>
      <c r="N65" s="1">
        <v>76394</v>
      </c>
      <c r="O65" s="1">
        <v>101415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188653</v>
      </c>
      <c r="V65" s="1">
        <v>0</v>
      </c>
      <c r="W65" s="1">
        <v>23397</v>
      </c>
      <c r="X65" s="1">
        <v>0</v>
      </c>
      <c r="Y65" s="1">
        <v>55961</v>
      </c>
      <c r="Z65" s="1">
        <v>0</v>
      </c>
      <c r="AA65" s="1">
        <v>56768</v>
      </c>
      <c r="AB65" s="1">
        <v>0</v>
      </c>
      <c r="AC65" s="1">
        <v>173198</v>
      </c>
      <c r="AD65" s="1">
        <v>0</v>
      </c>
      <c r="AE65" s="1">
        <f t="shared" si="0"/>
        <v>1919937</v>
      </c>
      <c r="AF65" s="9">
        <f t="shared" si="1"/>
        <v>7.355970534449828E-2</v>
      </c>
      <c r="AG65" s="9">
        <f t="shared" si="2"/>
        <v>3.6193895945544046E-3</v>
      </c>
      <c r="AH65" s="9">
        <f t="shared" si="3"/>
        <v>1.5250500407044607E-2</v>
      </c>
      <c r="AI65" s="9">
        <f t="shared" si="4"/>
        <v>2.050223522959347E-2</v>
      </c>
      <c r="AJ65" s="1" t="str">
        <f>IF(VLOOKUP(A65,Hospital!A:C,3,FALSE)="H","Hospital","Freestanding")</f>
        <v>Freestanding</v>
      </c>
      <c r="AK65" s="1">
        <v>2024</v>
      </c>
    </row>
    <row r="66" spans="1:37">
      <c r="A66" s="1">
        <v>21003</v>
      </c>
      <c r="B66" s="1" t="s">
        <v>231</v>
      </c>
      <c r="C66" s="1">
        <v>381933</v>
      </c>
      <c r="D66" s="1">
        <v>15511</v>
      </c>
      <c r="E66" s="1">
        <v>155647</v>
      </c>
      <c r="F66" s="1">
        <v>59073</v>
      </c>
      <c r="G66" s="1">
        <v>593420</v>
      </c>
      <c r="H66" s="1">
        <v>654252</v>
      </c>
      <c r="I66" s="1">
        <v>930480</v>
      </c>
      <c r="J66" s="1">
        <v>1163216</v>
      </c>
      <c r="K66" s="1">
        <v>173441</v>
      </c>
      <c r="L66" s="1">
        <v>105216</v>
      </c>
      <c r="M66" s="1">
        <v>0</v>
      </c>
      <c r="N66" s="1">
        <v>121050</v>
      </c>
      <c r="O66" s="1">
        <v>122086</v>
      </c>
      <c r="P66" s="1">
        <v>0</v>
      </c>
      <c r="Q66" s="1">
        <v>26129</v>
      </c>
      <c r="R66" s="1">
        <v>0</v>
      </c>
      <c r="S66" s="1">
        <v>0</v>
      </c>
      <c r="T66" s="1">
        <v>0</v>
      </c>
      <c r="U66" s="1">
        <v>419841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158367</v>
      </c>
      <c r="AB66" s="1">
        <v>0</v>
      </c>
      <c r="AC66" s="1">
        <v>524637</v>
      </c>
      <c r="AD66" s="1">
        <v>0</v>
      </c>
      <c r="AE66" s="1">
        <f t="shared" si="0"/>
        <v>4992135</v>
      </c>
      <c r="AF66" s="9">
        <f t="shared" si="1"/>
        <v>7.6506945425153766E-2</v>
      </c>
      <c r="AG66" s="9">
        <f t="shared" si="2"/>
        <v>3.1070874485565796E-3</v>
      </c>
      <c r="AH66" s="9">
        <f t="shared" si="3"/>
        <v>3.1178443691927401E-2</v>
      </c>
      <c r="AI66" s="9">
        <f t="shared" si="4"/>
        <v>1.1833213645063685E-2</v>
      </c>
      <c r="AJ66" s="1" t="str">
        <f>IF(VLOOKUP(A66,Hospital!A:C,3,FALSE)="H","Hospital","Freestanding")</f>
        <v>Freestanding</v>
      </c>
      <c r="AK66" s="1">
        <v>2024</v>
      </c>
    </row>
    <row r="67" spans="1:37">
      <c r="A67" s="1">
        <v>21004</v>
      </c>
      <c r="B67" s="1" t="s">
        <v>232</v>
      </c>
      <c r="C67" s="1">
        <v>171883</v>
      </c>
      <c r="D67" s="1">
        <v>2247</v>
      </c>
      <c r="E67" s="1">
        <v>33242</v>
      </c>
      <c r="F67" s="1">
        <v>42491</v>
      </c>
      <c r="G67" s="1">
        <v>84637</v>
      </c>
      <c r="H67" s="1">
        <v>436717</v>
      </c>
      <c r="I67" s="1">
        <v>541146</v>
      </c>
      <c r="J67" s="1">
        <v>584577</v>
      </c>
      <c r="K67" s="1">
        <v>84722</v>
      </c>
      <c r="L67" s="1">
        <v>50013</v>
      </c>
      <c r="M67" s="1">
        <v>0</v>
      </c>
      <c r="N67" s="1">
        <v>39203</v>
      </c>
      <c r="O67" s="1">
        <v>73480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170659</v>
      </c>
      <c r="V67" s="1">
        <v>0</v>
      </c>
      <c r="W67" s="1">
        <v>0</v>
      </c>
      <c r="X67" s="1">
        <v>0</v>
      </c>
      <c r="Y67" s="1">
        <v>155602</v>
      </c>
      <c r="Z67" s="1">
        <v>0</v>
      </c>
      <c r="AA67" s="1">
        <v>60378</v>
      </c>
      <c r="AB67" s="1">
        <v>0</v>
      </c>
      <c r="AC67" s="1">
        <v>220216</v>
      </c>
      <c r="AD67" s="1">
        <v>0</v>
      </c>
      <c r="AE67" s="1">
        <f t="shared" si="0"/>
        <v>2501350</v>
      </c>
      <c r="AF67" s="9">
        <f t="shared" si="1"/>
        <v>6.8716093309612813E-2</v>
      </c>
      <c r="AG67" s="9">
        <f t="shared" si="2"/>
        <v>8.9831490994862772E-4</v>
      </c>
      <c r="AH67" s="9">
        <f t="shared" si="3"/>
        <v>1.3289623603254242E-2</v>
      </c>
      <c r="AI67" s="9">
        <f t="shared" si="4"/>
        <v>1.6987226897475362E-2</v>
      </c>
      <c r="AJ67" s="1" t="str">
        <f>IF(VLOOKUP(A67,Hospital!A:C,3,FALSE)="H","Hospital","Freestanding")</f>
        <v>Freestanding</v>
      </c>
      <c r="AK67" s="1">
        <v>2024</v>
      </c>
    </row>
    <row r="68" spans="1:37">
      <c r="A68" s="1">
        <v>22001</v>
      </c>
      <c r="B68" s="1" t="s">
        <v>233</v>
      </c>
      <c r="C68" s="1">
        <v>365643</v>
      </c>
      <c r="D68" s="1">
        <v>2517</v>
      </c>
      <c r="E68" s="1">
        <v>85482</v>
      </c>
      <c r="F68" s="1">
        <v>108046</v>
      </c>
      <c r="G68" s="1">
        <v>399722</v>
      </c>
      <c r="H68" s="1">
        <v>476546</v>
      </c>
      <c r="I68" s="1">
        <v>797098</v>
      </c>
      <c r="J68" s="1">
        <v>1656768</v>
      </c>
      <c r="K68" s="1">
        <v>47295</v>
      </c>
      <c r="L68" s="1">
        <v>59269</v>
      </c>
      <c r="M68" s="1">
        <v>0</v>
      </c>
      <c r="N68" s="1">
        <v>95314</v>
      </c>
      <c r="O68" s="1">
        <v>214884</v>
      </c>
      <c r="P68" s="1">
        <v>52391</v>
      </c>
      <c r="Q68" s="1">
        <v>0</v>
      </c>
      <c r="R68" s="1">
        <v>-24646</v>
      </c>
      <c r="S68" s="1">
        <v>0</v>
      </c>
      <c r="T68" s="1">
        <v>0</v>
      </c>
      <c r="U68" s="1">
        <v>367199</v>
      </c>
      <c r="V68" s="1">
        <v>1103</v>
      </c>
      <c r="W68" s="1">
        <v>58061</v>
      </c>
      <c r="X68" s="1">
        <v>-2163</v>
      </c>
      <c r="Y68" s="1">
        <v>91193</v>
      </c>
      <c r="Z68" s="1">
        <v>976</v>
      </c>
      <c r="AA68" s="1">
        <v>213487</v>
      </c>
      <c r="AB68" s="1">
        <v>8831</v>
      </c>
      <c r="AC68" s="1">
        <v>290845</v>
      </c>
      <c r="AD68" s="1">
        <v>8644</v>
      </c>
      <c r="AE68" s="1">
        <f t="shared" ref="AE68:AE131" si="5">SUM(G68:AD68)</f>
        <v>4812817</v>
      </c>
      <c r="AF68" s="9">
        <f t="shared" ref="AF68:AF131" si="6">C68/AE68</f>
        <v>7.5972761898073421E-2</v>
      </c>
      <c r="AG68" s="9">
        <f t="shared" ref="AG68:AG131" si="7">D68/AE68</f>
        <v>5.2297853834874666E-4</v>
      </c>
      <c r="AH68" s="9">
        <f t="shared" ref="AH68:AH131" si="8">E68/AE68</f>
        <v>1.7761323565803563E-2</v>
      </c>
      <c r="AI68" s="9">
        <f t="shared" ref="AI68:AI131" si="9">F68/AE68</f>
        <v>2.2449638122538213E-2</v>
      </c>
      <c r="AJ68" s="1" t="str">
        <f>IF(VLOOKUP(A68,Hospital!A:C,3,FALSE)="H","Hospital","Freestanding")</f>
        <v>Freestanding</v>
      </c>
      <c r="AK68" s="1">
        <v>2024</v>
      </c>
    </row>
    <row r="69" spans="1:37">
      <c r="A69" s="1">
        <v>22003</v>
      </c>
      <c r="B69" s="1" t="s">
        <v>234</v>
      </c>
      <c r="C69" s="1">
        <v>120439</v>
      </c>
      <c r="D69" s="1">
        <v>6463</v>
      </c>
      <c r="E69" s="1">
        <v>30196</v>
      </c>
      <c r="F69" s="1">
        <v>0</v>
      </c>
      <c r="G69" s="1">
        <v>184526</v>
      </c>
      <c r="H69" s="1">
        <v>163188</v>
      </c>
      <c r="I69" s="1">
        <v>268433</v>
      </c>
      <c r="J69" s="1">
        <v>412434</v>
      </c>
      <c r="K69" s="1">
        <v>70942</v>
      </c>
      <c r="L69" s="1">
        <v>0</v>
      </c>
      <c r="M69" s="1">
        <v>0</v>
      </c>
      <c r="N69" s="1">
        <v>51859</v>
      </c>
      <c r="O69" s="1">
        <v>51647</v>
      </c>
      <c r="P69" s="1">
        <v>0</v>
      </c>
      <c r="Q69" s="1">
        <v>700</v>
      </c>
      <c r="R69" s="1">
        <v>1154</v>
      </c>
      <c r="S69" s="1">
        <v>0</v>
      </c>
      <c r="T69" s="1">
        <v>0</v>
      </c>
      <c r="U69" s="1">
        <v>209293</v>
      </c>
      <c r="V69" s="1">
        <v>0</v>
      </c>
      <c r="W69" s="1">
        <v>30167</v>
      </c>
      <c r="X69" s="1">
        <v>0</v>
      </c>
      <c r="Y69" s="1">
        <v>59903</v>
      </c>
      <c r="Z69" s="1">
        <v>0</v>
      </c>
      <c r="AA69" s="1">
        <v>65075</v>
      </c>
      <c r="AB69" s="1">
        <v>0</v>
      </c>
      <c r="AC69" s="1">
        <v>119636</v>
      </c>
      <c r="AD69" s="1">
        <v>0</v>
      </c>
      <c r="AE69" s="1">
        <f t="shared" si="5"/>
        <v>1688957</v>
      </c>
      <c r="AF69" s="9">
        <f t="shared" si="6"/>
        <v>7.1309689944741045E-2</v>
      </c>
      <c r="AG69" s="9">
        <f t="shared" si="7"/>
        <v>3.8266219921525534E-3</v>
      </c>
      <c r="AH69" s="9">
        <f t="shared" si="8"/>
        <v>1.7878489505653489E-2</v>
      </c>
      <c r="AI69" s="9">
        <f t="shared" si="9"/>
        <v>0</v>
      </c>
      <c r="AJ69" s="1" t="str">
        <f>IF(VLOOKUP(A69,Hospital!A:C,3,FALSE)="H","Hospital","Freestanding")</f>
        <v>Freestanding</v>
      </c>
      <c r="AK69" s="1">
        <v>2024</v>
      </c>
    </row>
    <row r="70" spans="1:37">
      <c r="A70" s="1">
        <v>23001</v>
      </c>
      <c r="B70" s="1" t="s">
        <v>235</v>
      </c>
      <c r="C70" s="1">
        <v>156261</v>
      </c>
      <c r="D70" s="1">
        <v>0</v>
      </c>
      <c r="E70" s="1">
        <v>4500</v>
      </c>
      <c r="F70" s="1">
        <v>177057</v>
      </c>
      <c r="G70" s="1">
        <v>343894</v>
      </c>
      <c r="H70" s="1">
        <v>331351</v>
      </c>
      <c r="I70" s="1">
        <v>264359</v>
      </c>
      <c r="J70" s="1">
        <v>371538</v>
      </c>
      <c r="K70" s="1">
        <v>6959</v>
      </c>
      <c r="L70" s="1">
        <v>45297</v>
      </c>
      <c r="M70" s="1">
        <v>0</v>
      </c>
      <c r="N70" s="1">
        <v>64566</v>
      </c>
      <c r="O70" s="1">
        <v>119737</v>
      </c>
      <c r="P70" s="1">
        <v>0</v>
      </c>
      <c r="Q70" s="1">
        <v>0</v>
      </c>
      <c r="R70" s="1">
        <v>19754</v>
      </c>
      <c r="S70" s="1">
        <v>0</v>
      </c>
      <c r="T70" s="1">
        <v>0</v>
      </c>
      <c r="U70" s="1">
        <v>245325</v>
      </c>
      <c r="V70" s="1">
        <v>6386</v>
      </c>
      <c r="W70" s="1">
        <v>19443</v>
      </c>
      <c r="X70" s="1">
        <v>0</v>
      </c>
      <c r="Y70" s="1">
        <v>109564</v>
      </c>
      <c r="Z70" s="1">
        <v>7164</v>
      </c>
      <c r="AA70" s="1">
        <v>60262</v>
      </c>
      <c r="AB70" s="1">
        <v>-197</v>
      </c>
      <c r="AC70" s="1">
        <v>55819</v>
      </c>
      <c r="AD70" s="1">
        <v>3780</v>
      </c>
      <c r="AE70" s="1">
        <f t="shared" si="5"/>
        <v>2075001</v>
      </c>
      <c r="AF70" s="9">
        <f t="shared" si="6"/>
        <v>7.5306469731821812E-2</v>
      </c>
      <c r="AG70" s="9">
        <f t="shared" si="7"/>
        <v>0</v>
      </c>
      <c r="AH70" s="9">
        <f t="shared" si="8"/>
        <v>2.168673653651251E-3</v>
      </c>
      <c r="AI70" s="9">
        <f t="shared" si="9"/>
        <v>8.5328633576562132E-2</v>
      </c>
      <c r="AJ70" s="1" t="str">
        <f>IF(VLOOKUP(A70,Hospital!A:C,3,FALSE)="H","Hospital","Freestanding")</f>
        <v>Freestanding</v>
      </c>
      <c r="AK70" s="1">
        <v>2024</v>
      </c>
    </row>
    <row r="71" spans="1:37">
      <c r="A71" s="1">
        <v>23002</v>
      </c>
      <c r="B71" s="1" t="s">
        <v>236</v>
      </c>
      <c r="C71" s="1">
        <v>395861</v>
      </c>
      <c r="D71" s="1">
        <v>3513</v>
      </c>
      <c r="E71" s="1">
        <v>110243</v>
      </c>
      <c r="F71" s="1">
        <v>76983</v>
      </c>
      <c r="G71" s="1">
        <v>662144</v>
      </c>
      <c r="H71" s="1">
        <v>659697</v>
      </c>
      <c r="I71" s="1">
        <v>401767</v>
      </c>
      <c r="J71" s="1">
        <v>1444466</v>
      </c>
      <c r="K71" s="1">
        <v>388257</v>
      </c>
      <c r="L71" s="1">
        <v>152493</v>
      </c>
      <c r="M71" s="1">
        <v>0</v>
      </c>
      <c r="N71" s="1">
        <v>114880</v>
      </c>
      <c r="O71" s="1">
        <v>158760</v>
      </c>
      <c r="P71" s="1">
        <v>43434</v>
      </c>
      <c r="Q71" s="1">
        <v>10519</v>
      </c>
      <c r="R71" s="1">
        <v>5324</v>
      </c>
      <c r="S71" s="1">
        <v>0</v>
      </c>
      <c r="T71" s="1">
        <v>0</v>
      </c>
      <c r="U71" s="1">
        <v>510325</v>
      </c>
      <c r="V71" s="1">
        <v>-29151</v>
      </c>
      <c r="W71" s="1">
        <v>127241</v>
      </c>
      <c r="X71" s="1">
        <v>11952</v>
      </c>
      <c r="Y71" s="1">
        <v>332539</v>
      </c>
      <c r="Z71" s="1">
        <v>-18890</v>
      </c>
      <c r="AA71" s="1">
        <v>136405</v>
      </c>
      <c r="AB71" s="1">
        <v>23060</v>
      </c>
      <c r="AC71" s="1">
        <v>406916</v>
      </c>
      <c r="AD71" s="1">
        <v>-3406</v>
      </c>
      <c r="AE71" s="1">
        <f t="shared" si="5"/>
        <v>5538732</v>
      </c>
      <c r="AF71" s="9">
        <f t="shared" si="6"/>
        <v>7.147141259046294E-2</v>
      </c>
      <c r="AG71" s="9">
        <f t="shared" si="7"/>
        <v>6.3426069360279574E-4</v>
      </c>
      <c r="AH71" s="9">
        <f t="shared" si="8"/>
        <v>1.9904014131754345E-2</v>
      </c>
      <c r="AI71" s="9">
        <f t="shared" si="9"/>
        <v>1.3899029597387993E-2</v>
      </c>
      <c r="AJ71" s="1" t="str">
        <f>IF(VLOOKUP(A71,Hospital!A:C,3,FALSE)="H","Hospital","Freestanding")</f>
        <v>Freestanding</v>
      </c>
      <c r="AK71" s="1">
        <v>2024</v>
      </c>
    </row>
    <row r="72" spans="1:37">
      <c r="A72" s="1">
        <v>23003</v>
      </c>
      <c r="B72" s="1" t="s">
        <v>237</v>
      </c>
      <c r="C72" s="1">
        <v>199108</v>
      </c>
      <c r="D72" s="1">
        <v>755</v>
      </c>
      <c r="E72" s="1">
        <v>55940</v>
      </c>
      <c r="F72" s="1">
        <v>26913</v>
      </c>
      <c r="G72" s="1">
        <v>281094</v>
      </c>
      <c r="H72" s="1">
        <v>198889</v>
      </c>
      <c r="I72" s="1">
        <v>305265</v>
      </c>
      <c r="J72" s="1">
        <v>861194</v>
      </c>
      <c r="K72" s="1">
        <v>83527</v>
      </c>
      <c r="L72" s="1">
        <v>45000</v>
      </c>
      <c r="M72" s="1">
        <v>0</v>
      </c>
      <c r="N72" s="1">
        <v>74695</v>
      </c>
      <c r="O72" s="1">
        <v>133707</v>
      </c>
      <c r="P72" s="1">
        <v>0</v>
      </c>
      <c r="Q72" s="1">
        <v>4306</v>
      </c>
      <c r="R72" s="1">
        <v>-10056</v>
      </c>
      <c r="S72" s="1">
        <v>0</v>
      </c>
      <c r="T72" s="1">
        <v>0</v>
      </c>
      <c r="U72" s="1">
        <v>226490</v>
      </c>
      <c r="V72" s="1">
        <v>42</v>
      </c>
      <c r="W72" s="1">
        <v>38359</v>
      </c>
      <c r="X72" s="1">
        <v>67</v>
      </c>
      <c r="Y72" s="1">
        <v>64446</v>
      </c>
      <c r="Z72" s="1">
        <v>304</v>
      </c>
      <c r="AA72" s="1">
        <v>172300</v>
      </c>
      <c r="AB72" s="1">
        <v>-3627</v>
      </c>
      <c r="AC72" s="1">
        <v>261904</v>
      </c>
      <c r="AD72" s="1">
        <v>-1097</v>
      </c>
      <c r="AE72" s="1">
        <f t="shared" si="5"/>
        <v>2736809</v>
      </c>
      <c r="AF72" s="9">
        <f t="shared" si="6"/>
        <v>7.2751880017933299E-2</v>
      </c>
      <c r="AG72" s="9">
        <f t="shared" si="7"/>
        <v>2.7586872156588199E-4</v>
      </c>
      <c r="AH72" s="9">
        <f t="shared" si="8"/>
        <v>2.0439862628338332E-2</v>
      </c>
      <c r="AI72" s="9">
        <f t="shared" si="9"/>
        <v>9.833715103976931E-3</v>
      </c>
      <c r="AJ72" s="1" t="str">
        <f>IF(VLOOKUP(A72,Hospital!A:C,3,FALSE)="H","Hospital","Freestanding")</f>
        <v>Freestanding</v>
      </c>
      <c r="AK72" s="1">
        <v>2024</v>
      </c>
    </row>
    <row r="73" spans="1:37">
      <c r="A73" s="1">
        <v>23004</v>
      </c>
      <c r="B73" s="1" t="s">
        <v>238</v>
      </c>
      <c r="C73" s="1">
        <v>235742</v>
      </c>
      <c r="D73" s="1">
        <v>4074</v>
      </c>
      <c r="E73" s="1">
        <v>20794</v>
      </c>
      <c r="F73" s="1">
        <v>56463</v>
      </c>
      <c r="G73" s="1">
        <v>808263</v>
      </c>
      <c r="H73" s="1">
        <v>443910</v>
      </c>
      <c r="I73" s="1">
        <v>214344</v>
      </c>
      <c r="J73" s="1">
        <v>891729</v>
      </c>
      <c r="K73" s="1">
        <v>83466</v>
      </c>
      <c r="L73" s="1">
        <v>46232</v>
      </c>
      <c r="M73" s="1">
        <v>0</v>
      </c>
      <c r="N73" s="1">
        <v>84330</v>
      </c>
      <c r="O73" s="1">
        <v>191015</v>
      </c>
      <c r="P73" s="1">
        <v>0</v>
      </c>
      <c r="Q73" s="1">
        <v>0</v>
      </c>
      <c r="R73" s="1">
        <v>37773</v>
      </c>
      <c r="S73" s="1">
        <v>0</v>
      </c>
      <c r="T73" s="1">
        <v>0</v>
      </c>
      <c r="U73" s="1">
        <v>416079</v>
      </c>
      <c r="V73" s="1">
        <v>0</v>
      </c>
      <c r="W73" s="1">
        <v>0</v>
      </c>
      <c r="X73" s="1">
        <v>0</v>
      </c>
      <c r="Y73" s="1">
        <v>206135</v>
      </c>
      <c r="Z73" s="1">
        <v>0</v>
      </c>
      <c r="AA73" s="1">
        <v>172994</v>
      </c>
      <c r="AB73" s="1">
        <v>0</v>
      </c>
      <c r="AC73" s="1">
        <v>551420</v>
      </c>
      <c r="AD73" s="1">
        <v>0</v>
      </c>
      <c r="AE73" s="1">
        <f t="shared" si="5"/>
        <v>4147690</v>
      </c>
      <c r="AF73" s="9">
        <f t="shared" si="6"/>
        <v>5.6836938151115443E-2</v>
      </c>
      <c r="AG73" s="9">
        <f t="shared" si="7"/>
        <v>9.8223348418035109E-4</v>
      </c>
      <c r="AH73" s="9">
        <f t="shared" si="8"/>
        <v>5.0133929970658363E-3</v>
      </c>
      <c r="AI73" s="9">
        <f t="shared" si="9"/>
        <v>1.361311959186921E-2</v>
      </c>
      <c r="AJ73" s="1" t="str">
        <f>IF(VLOOKUP(A73,Hospital!A:C,3,FALSE)="H","Hospital","Freestanding")</f>
        <v>Freestanding</v>
      </c>
      <c r="AK73" s="1">
        <v>2024</v>
      </c>
    </row>
    <row r="74" spans="1:37">
      <c r="A74" s="1">
        <v>23005</v>
      </c>
      <c r="B74" s="1" t="s">
        <v>239</v>
      </c>
      <c r="C74" s="1">
        <v>128232</v>
      </c>
      <c r="D74" s="1">
        <v>-190</v>
      </c>
      <c r="E74" s="1">
        <v>50004</v>
      </c>
      <c r="F74" s="1">
        <v>0</v>
      </c>
      <c r="G74" s="1">
        <v>145481</v>
      </c>
      <c r="H74" s="1">
        <v>374977</v>
      </c>
      <c r="I74" s="1">
        <v>109610</v>
      </c>
      <c r="J74" s="1">
        <v>439022</v>
      </c>
      <c r="K74" s="1">
        <v>104057</v>
      </c>
      <c r="L74" s="1">
        <v>51843</v>
      </c>
      <c r="M74" s="1">
        <v>0</v>
      </c>
      <c r="N74" s="1">
        <v>55381</v>
      </c>
      <c r="O74" s="1">
        <v>68329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174476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68308</v>
      </c>
      <c r="AB74" s="1">
        <v>0</v>
      </c>
      <c r="AC74" s="1">
        <v>139980</v>
      </c>
      <c r="AD74" s="1">
        <v>0</v>
      </c>
      <c r="AE74" s="1">
        <f t="shared" si="5"/>
        <v>1731464</v>
      </c>
      <c r="AF74" s="9">
        <f t="shared" si="6"/>
        <v>7.4059870722117241E-2</v>
      </c>
      <c r="AG74" s="9">
        <f t="shared" si="7"/>
        <v>-1.0973372822074267E-4</v>
      </c>
      <c r="AH74" s="9">
        <f t="shared" si="8"/>
        <v>2.8879607083947458E-2</v>
      </c>
      <c r="AI74" s="9">
        <f t="shared" si="9"/>
        <v>0</v>
      </c>
      <c r="AJ74" s="1" t="str">
        <f>IF(VLOOKUP(A74,Hospital!A:C,3,FALSE)="H","Hospital","Freestanding")</f>
        <v>Freestanding</v>
      </c>
      <c r="AK74" s="1">
        <v>2024</v>
      </c>
    </row>
    <row r="75" spans="1:37">
      <c r="A75" s="1">
        <v>23007</v>
      </c>
      <c r="B75" s="1" t="s">
        <v>240</v>
      </c>
      <c r="C75" s="1">
        <v>76510</v>
      </c>
      <c r="D75" s="1">
        <v>6184</v>
      </c>
      <c r="E75" s="1">
        <v>28313</v>
      </c>
      <c r="F75" s="1">
        <v>0</v>
      </c>
      <c r="G75" s="1">
        <v>96421</v>
      </c>
      <c r="H75" s="1">
        <v>28959</v>
      </c>
      <c r="I75" s="1">
        <v>74411</v>
      </c>
      <c r="J75" s="1">
        <v>296743</v>
      </c>
      <c r="K75" s="1">
        <v>0</v>
      </c>
      <c r="L75" s="1">
        <v>0</v>
      </c>
      <c r="M75" s="1">
        <v>0</v>
      </c>
      <c r="N75" s="1">
        <v>0</v>
      </c>
      <c r="O75" s="1">
        <v>39103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166841</v>
      </c>
      <c r="V75" s="1">
        <v>0</v>
      </c>
      <c r="W75" s="1">
        <v>38134</v>
      </c>
      <c r="X75" s="1">
        <v>0</v>
      </c>
      <c r="Y75" s="1">
        <v>19879</v>
      </c>
      <c r="Z75" s="1">
        <v>0</v>
      </c>
      <c r="AA75" s="1">
        <v>63591</v>
      </c>
      <c r="AB75" s="1">
        <v>0</v>
      </c>
      <c r="AC75" s="1">
        <v>146419</v>
      </c>
      <c r="AD75" s="1">
        <v>0</v>
      </c>
      <c r="AE75" s="1">
        <f t="shared" si="5"/>
        <v>970501</v>
      </c>
      <c r="AF75" s="9">
        <f t="shared" si="6"/>
        <v>7.8835570494002583E-2</v>
      </c>
      <c r="AG75" s="9">
        <f t="shared" si="7"/>
        <v>6.371966644032309E-3</v>
      </c>
      <c r="AH75" s="9">
        <f t="shared" si="8"/>
        <v>2.9173591784037316E-2</v>
      </c>
      <c r="AI75" s="9">
        <f t="shared" si="9"/>
        <v>0</v>
      </c>
      <c r="AJ75" s="1" t="str">
        <f>IF(VLOOKUP(A75,Hospital!A:C,3,FALSE)="H","Hospital","Freestanding")</f>
        <v>Freestanding</v>
      </c>
      <c r="AK75" s="1">
        <v>2024</v>
      </c>
    </row>
    <row r="76" spans="1:37">
      <c r="A76" s="1">
        <v>24001</v>
      </c>
      <c r="B76" s="1" t="s">
        <v>241</v>
      </c>
      <c r="C76" s="1">
        <v>392802</v>
      </c>
      <c r="D76" s="1">
        <v>0</v>
      </c>
      <c r="E76" s="1">
        <v>9140</v>
      </c>
      <c r="F76" s="1">
        <v>196040</v>
      </c>
      <c r="G76" s="1">
        <v>358255</v>
      </c>
      <c r="H76" s="1">
        <v>865536</v>
      </c>
      <c r="I76" s="1">
        <v>489982</v>
      </c>
      <c r="J76" s="1">
        <v>1619225</v>
      </c>
      <c r="K76" s="1">
        <v>407175</v>
      </c>
      <c r="L76" s="1">
        <v>98061</v>
      </c>
      <c r="M76" s="1">
        <v>0</v>
      </c>
      <c r="N76" s="1">
        <v>253350</v>
      </c>
      <c r="O76" s="1">
        <v>69542</v>
      </c>
      <c r="P76" s="1">
        <v>13840</v>
      </c>
      <c r="Q76" s="1">
        <v>0</v>
      </c>
      <c r="R76" s="1">
        <v>12624</v>
      </c>
      <c r="S76" s="1">
        <v>0</v>
      </c>
      <c r="T76" s="1">
        <v>0</v>
      </c>
      <c r="U76" s="1">
        <v>360354</v>
      </c>
      <c r="V76" s="1">
        <v>1138</v>
      </c>
      <c r="W76" s="1">
        <v>91698</v>
      </c>
      <c r="X76" s="1">
        <v>-8515</v>
      </c>
      <c r="Y76" s="1">
        <v>38403</v>
      </c>
      <c r="Z76" s="1">
        <v>1170</v>
      </c>
      <c r="AA76" s="1">
        <v>97817</v>
      </c>
      <c r="AB76" s="1">
        <v>-2049</v>
      </c>
      <c r="AC76" s="1">
        <v>185528</v>
      </c>
      <c r="AD76" s="1">
        <v>-1342</v>
      </c>
      <c r="AE76" s="1">
        <f t="shared" si="5"/>
        <v>4951792</v>
      </c>
      <c r="AF76" s="9">
        <f t="shared" si="6"/>
        <v>7.9325222061023562E-2</v>
      </c>
      <c r="AG76" s="9">
        <f t="shared" si="7"/>
        <v>0</v>
      </c>
      <c r="AH76" s="9">
        <f t="shared" si="8"/>
        <v>1.8457964308678555E-3</v>
      </c>
      <c r="AI76" s="9">
        <f t="shared" si="9"/>
        <v>3.9589708129905296E-2</v>
      </c>
      <c r="AJ76" s="1" t="str">
        <f>IF(VLOOKUP(A76,Hospital!A:C,3,FALSE)="H","Hospital","Freestanding")</f>
        <v>Freestanding</v>
      </c>
      <c r="AK76" s="1">
        <v>2024</v>
      </c>
    </row>
    <row r="77" spans="1:37">
      <c r="A77" s="1">
        <v>24004</v>
      </c>
      <c r="B77" s="1" t="s">
        <v>242</v>
      </c>
      <c r="C77" s="1">
        <v>210543</v>
      </c>
      <c r="D77" s="1">
        <v>16638</v>
      </c>
      <c r="E77" s="1">
        <v>35038</v>
      </c>
      <c r="F77" s="1">
        <v>12447</v>
      </c>
      <c r="G77" s="1">
        <v>88088</v>
      </c>
      <c r="H77" s="1">
        <v>339747</v>
      </c>
      <c r="I77" s="1">
        <v>394006</v>
      </c>
      <c r="J77" s="1">
        <v>553618</v>
      </c>
      <c r="K77" s="1">
        <v>115822</v>
      </c>
      <c r="L77" s="1">
        <v>175973</v>
      </c>
      <c r="M77" s="1">
        <v>0</v>
      </c>
      <c r="N77" s="1">
        <v>53466</v>
      </c>
      <c r="O77" s="1">
        <v>97761</v>
      </c>
      <c r="P77" s="1">
        <v>69394</v>
      </c>
      <c r="Q77" s="1">
        <v>39413</v>
      </c>
      <c r="R77" s="1">
        <v>-12623</v>
      </c>
      <c r="S77" s="1">
        <v>0</v>
      </c>
      <c r="T77" s="1">
        <v>0</v>
      </c>
      <c r="U77" s="1">
        <v>283959</v>
      </c>
      <c r="V77" s="1">
        <v>-703</v>
      </c>
      <c r="W77" s="1">
        <v>39578</v>
      </c>
      <c r="X77" s="1">
        <v>3688</v>
      </c>
      <c r="Y77" s="1">
        <v>101146</v>
      </c>
      <c r="Z77" s="1">
        <v>6851</v>
      </c>
      <c r="AA77" s="1">
        <v>60983</v>
      </c>
      <c r="AB77" s="1">
        <v>-5393</v>
      </c>
      <c r="AC77" s="1">
        <v>307141</v>
      </c>
      <c r="AD77" s="1">
        <v>-7906</v>
      </c>
      <c r="AE77" s="1">
        <f t="shared" si="5"/>
        <v>2704009</v>
      </c>
      <c r="AF77" s="9">
        <f t="shared" si="6"/>
        <v>7.786327634264531E-2</v>
      </c>
      <c r="AG77" s="9">
        <f t="shared" si="7"/>
        <v>6.1530860289296377E-3</v>
      </c>
      <c r="AH77" s="9">
        <f t="shared" si="8"/>
        <v>1.2957797107923828E-2</v>
      </c>
      <c r="AI77" s="9">
        <f t="shared" si="9"/>
        <v>4.6031651521869933E-3</v>
      </c>
      <c r="AJ77" s="1" t="str">
        <f>IF(VLOOKUP(A77,Hospital!A:C,3,FALSE)="H","Hospital","Freestanding")</f>
        <v>Freestanding</v>
      </c>
      <c r="AK77" s="1">
        <v>2024</v>
      </c>
    </row>
    <row r="78" spans="1:37">
      <c r="A78" s="1">
        <v>24005</v>
      </c>
      <c r="B78" s="1" t="s">
        <v>243</v>
      </c>
      <c r="C78" s="1">
        <v>473880</v>
      </c>
      <c r="D78" s="1">
        <v>6767</v>
      </c>
      <c r="E78" s="1">
        <v>16270</v>
      </c>
      <c r="F78" s="1">
        <v>3064</v>
      </c>
      <c r="G78" s="1">
        <v>235956</v>
      </c>
      <c r="H78" s="1">
        <v>475280</v>
      </c>
      <c r="I78" s="1">
        <v>810067</v>
      </c>
      <c r="J78" s="1">
        <v>1517727</v>
      </c>
      <c r="K78" s="1">
        <v>81153</v>
      </c>
      <c r="L78" s="1">
        <v>63785</v>
      </c>
      <c r="M78" s="1">
        <v>0</v>
      </c>
      <c r="N78" s="1">
        <v>198348</v>
      </c>
      <c r="O78" s="1">
        <v>288143</v>
      </c>
      <c r="P78" s="1">
        <v>49048</v>
      </c>
      <c r="Q78" s="1">
        <v>0</v>
      </c>
      <c r="R78" s="1">
        <v>24866</v>
      </c>
      <c r="S78" s="1">
        <v>0</v>
      </c>
      <c r="T78" s="1">
        <v>0</v>
      </c>
      <c r="U78" s="1">
        <v>361379</v>
      </c>
      <c r="V78" s="1">
        <v>-3239</v>
      </c>
      <c r="W78" s="1">
        <v>175251</v>
      </c>
      <c r="X78" s="1">
        <v>333</v>
      </c>
      <c r="Y78" s="1">
        <v>46091</v>
      </c>
      <c r="Z78" s="1">
        <v>2631</v>
      </c>
      <c r="AA78" s="1">
        <v>176212</v>
      </c>
      <c r="AB78" s="1">
        <v>-2251</v>
      </c>
      <c r="AC78" s="1">
        <v>326604</v>
      </c>
      <c r="AD78" s="1">
        <v>11353</v>
      </c>
      <c r="AE78" s="1">
        <f t="shared" si="5"/>
        <v>4838737</v>
      </c>
      <c r="AF78" s="9">
        <f t="shared" si="6"/>
        <v>9.7934646995693292E-2</v>
      </c>
      <c r="AG78" s="9">
        <f t="shared" si="7"/>
        <v>1.3985054364393022E-3</v>
      </c>
      <c r="AH78" s="9">
        <f t="shared" si="8"/>
        <v>3.3624476800454333E-3</v>
      </c>
      <c r="AI78" s="9">
        <f t="shared" si="9"/>
        <v>6.3322309106694579E-4</v>
      </c>
      <c r="AJ78" s="1" t="str">
        <f>IF(VLOOKUP(A78,Hospital!A:C,3,FALSE)="H","Hospital","Freestanding")</f>
        <v>Freestanding</v>
      </c>
      <c r="AK78" s="1">
        <v>2024</v>
      </c>
    </row>
    <row r="79" spans="1:37">
      <c r="A79" s="1">
        <v>25003</v>
      </c>
      <c r="B79" s="1" t="s">
        <v>244</v>
      </c>
      <c r="C79" s="1">
        <v>354996</v>
      </c>
      <c r="D79" s="1">
        <v>27033</v>
      </c>
      <c r="E79" s="1">
        <v>147452</v>
      </c>
      <c r="F79" s="1">
        <v>128293</v>
      </c>
      <c r="G79" s="1">
        <v>387771</v>
      </c>
      <c r="H79" s="1">
        <v>754037</v>
      </c>
      <c r="I79" s="1">
        <v>695092</v>
      </c>
      <c r="J79" s="1">
        <v>1135783</v>
      </c>
      <c r="K79" s="1">
        <v>0</v>
      </c>
      <c r="L79" s="1">
        <v>62602</v>
      </c>
      <c r="M79" s="1">
        <v>0</v>
      </c>
      <c r="N79" s="1">
        <v>120849</v>
      </c>
      <c r="O79" s="1">
        <v>109861</v>
      </c>
      <c r="P79" s="1">
        <v>0</v>
      </c>
      <c r="Q79" s="1">
        <v>0</v>
      </c>
      <c r="R79" s="1">
        <v>9525</v>
      </c>
      <c r="S79" s="1">
        <v>0</v>
      </c>
      <c r="T79" s="1">
        <v>0</v>
      </c>
      <c r="U79" s="1">
        <v>624687</v>
      </c>
      <c r="V79" s="1">
        <v>7227</v>
      </c>
      <c r="W79" s="1">
        <v>39892</v>
      </c>
      <c r="X79" s="1">
        <v>53</v>
      </c>
      <c r="Y79" s="1">
        <v>220678</v>
      </c>
      <c r="Z79" s="1">
        <v>1219</v>
      </c>
      <c r="AA79" s="1">
        <v>130995</v>
      </c>
      <c r="AB79" s="1">
        <v>216</v>
      </c>
      <c r="AC79" s="1">
        <v>365286</v>
      </c>
      <c r="AD79" s="1">
        <v>-11254</v>
      </c>
      <c r="AE79" s="1">
        <f t="shared" si="5"/>
        <v>4654519</v>
      </c>
      <c r="AF79" s="9">
        <f t="shared" si="6"/>
        <v>7.6269105357610528E-2</v>
      </c>
      <c r="AG79" s="9">
        <f t="shared" si="7"/>
        <v>5.8079041035174637E-3</v>
      </c>
      <c r="AH79" s="9">
        <f t="shared" si="8"/>
        <v>3.1679320677389003E-2</v>
      </c>
      <c r="AI79" s="9">
        <f t="shared" si="9"/>
        <v>2.7563105876246288E-2</v>
      </c>
      <c r="AJ79" s="1" t="str">
        <f>IF(VLOOKUP(A79,Hospital!A:C,3,FALSE)="H","Hospital","Freestanding")</f>
        <v>Hospital</v>
      </c>
      <c r="AK79" s="1">
        <v>2024</v>
      </c>
    </row>
    <row r="80" spans="1:37">
      <c r="A80" s="1">
        <v>25005</v>
      </c>
      <c r="B80" s="1" t="s">
        <v>245</v>
      </c>
      <c r="C80" s="1">
        <v>178710</v>
      </c>
      <c r="D80" s="1">
        <v>13937</v>
      </c>
      <c r="E80" s="1">
        <v>55523</v>
      </c>
      <c r="F80" s="1">
        <v>27560</v>
      </c>
      <c r="G80" s="1">
        <v>264163</v>
      </c>
      <c r="H80" s="1">
        <v>304431</v>
      </c>
      <c r="I80" s="1">
        <v>238524</v>
      </c>
      <c r="J80" s="1">
        <v>576736</v>
      </c>
      <c r="K80" s="1">
        <v>80164</v>
      </c>
      <c r="L80" s="1">
        <v>61380</v>
      </c>
      <c r="M80" s="1">
        <v>0</v>
      </c>
      <c r="N80" s="1">
        <v>41133</v>
      </c>
      <c r="O80" s="1">
        <v>117030</v>
      </c>
      <c r="P80" s="1">
        <v>0</v>
      </c>
      <c r="Q80" s="1">
        <v>0</v>
      </c>
      <c r="R80" s="1">
        <v>4546</v>
      </c>
      <c r="S80" s="1">
        <v>0</v>
      </c>
      <c r="T80" s="1">
        <v>0</v>
      </c>
      <c r="U80" s="1">
        <v>214494</v>
      </c>
      <c r="V80" s="1">
        <v>3646</v>
      </c>
      <c r="W80" s="1">
        <v>2990</v>
      </c>
      <c r="X80" s="1">
        <v>0</v>
      </c>
      <c r="Y80" s="1">
        <v>126583</v>
      </c>
      <c r="Z80" s="1">
        <v>2314</v>
      </c>
      <c r="AA80" s="1">
        <v>91117</v>
      </c>
      <c r="AB80" s="1">
        <v>-1184</v>
      </c>
      <c r="AC80" s="1">
        <v>217477</v>
      </c>
      <c r="AD80" s="1">
        <v>1312</v>
      </c>
      <c r="AE80" s="1">
        <f t="shared" si="5"/>
        <v>2346856</v>
      </c>
      <c r="AF80" s="9">
        <f t="shared" si="6"/>
        <v>7.6148685731037613E-2</v>
      </c>
      <c r="AG80" s="9">
        <f t="shared" si="7"/>
        <v>5.9385833642967446E-3</v>
      </c>
      <c r="AH80" s="9">
        <f t="shared" si="8"/>
        <v>2.3658460510572441E-2</v>
      </c>
      <c r="AI80" s="9">
        <f t="shared" si="9"/>
        <v>1.1743370705318093E-2</v>
      </c>
      <c r="AJ80" s="1" t="str">
        <f>IF(VLOOKUP(A80,Hospital!A:C,3,FALSE)="H","Hospital","Freestanding")</f>
        <v>Freestanding</v>
      </c>
      <c r="AK80" s="1">
        <v>2024</v>
      </c>
    </row>
    <row r="81" spans="1:37">
      <c r="A81" s="1">
        <v>25007</v>
      </c>
      <c r="B81" s="1" t="s">
        <v>246</v>
      </c>
      <c r="C81" s="1">
        <v>297574</v>
      </c>
      <c r="D81" s="1">
        <v>30789</v>
      </c>
      <c r="E81" s="1">
        <v>69720</v>
      </c>
      <c r="F81" s="1">
        <v>50131</v>
      </c>
      <c r="G81" s="1">
        <v>387884</v>
      </c>
      <c r="H81" s="1">
        <v>715548</v>
      </c>
      <c r="I81" s="1">
        <v>499728</v>
      </c>
      <c r="J81" s="1">
        <v>1244745</v>
      </c>
      <c r="K81" s="1">
        <v>126453</v>
      </c>
      <c r="L81" s="1">
        <v>68527</v>
      </c>
      <c r="M81" s="1">
        <v>0</v>
      </c>
      <c r="N81" s="1">
        <v>54113</v>
      </c>
      <c r="O81" s="1">
        <v>65919</v>
      </c>
      <c r="P81" s="1">
        <v>38911</v>
      </c>
      <c r="Q81" s="1">
        <v>10824</v>
      </c>
      <c r="R81" s="1">
        <v>3184</v>
      </c>
      <c r="S81" s="1">
        <v>0</v>
      </c>
      <c r="T81" s="1">
        <v>0</v>
      </c>
      <c r="U81" s="1">
        <v>293602</v>
      </c>
      <c r="V81" s="1">
        <v>3216</v>
      </c>
      <c r="W81" s="1">
        <v>0</v>
      </c>
      <c r="X81" s="1">
        <v>0</v>
      </c>
      <c r="Y81" s="1">
        <v>117354</v>
      </c>
      <c r="Z81" s="1">
        <v>-676</v>
      </c>
      <c r="AA81" s="1">
        <v>62963</v>
      </c>
      <c r="AB81" s="1">
        <v>201</v>
      </c>
      <c r="AC81" s="1">
        <v>237810</v>
      </c>
      <c r="AD81" s="1">
        <v>1420</v>
      </c>
      <c r="AE81" s="1">
        <f t="shared" si="5"/>
        <v>3931726</v>
      </c>
      <c r="AF81" s="9">
        <f t="shared" si="6"/>
        <v>7.5685335142886362E-2</v>
      </c>
      <c r="AG81" s="9">
        <f t="shared" si="7"/>
        <v>7.8309119201083691E-3</v>
      </c>
      <c r="AH81" s="9">
        <f t="shared" si="8"/>
        <v>1.7732670079247639E-2</v>
      </c>
      <c r="AI81" s="9">
        <f t="shared" si="9"/>
        <v>1.27503798586168E-2</v>
      </c>
      <c r="AJ81" s="1" t="str">
        <f>IF(VLOOKUP(A81,Hospital!A:C,3,FALSE)="H","Hospital","Freestanding")</f>
        <v>Freestanding</v>
      </c>
      <c r="AK81" s="1">
        <v>2024</v>
      </c>
    </row>
    <row r="82" spans="1:37">
      <c r="A82" s="1">
        <v>25008</v>
      </c>
      <c r="B82" s="1" t="s">
        <v>247</v>
      </c>
      <c r="C82" s="1">
        <v>244804</v>
      </c>
      <c r="D82" s="1">
        <v>38849</v>
      </c>
      <c r="E82" s="1">
        <v>76971</v>
      </c>
      <c r="F82" s="1">
        <v>0</v>
      </c>
      <c r="G82" s="1">
        <v>246499</v>
      </c>
      <c r="H82" s="1">
        <v>500330</v>
      </c>
      <c r="I82" s="1">
        <v>301971</v>
      </c>
      <c r="J82" s="1">
        <v>877469</v>
      </c>
      <c r="K82" s="1">
        <v>185948</v>
      </c>
      <c r="L82" s="1">
        <v>118786</v>
      </c>
      <c r="M82" s="1">
        <v>0</v>
      </c>
      <c r="N82" s="1">
        <v>122341</v>
      </c>
      <c r="O82" s="1">
        <v>179146</v>
      </c>
      <c r="P82" s="1">
        <v>27956</v>
      </c>
      <c r="Q82" s="1">
        <v>0</v>
      </c>
      <c r="R82" s="1">
        <v>0</v>
      </c>
      <c r="S82" s="1">
        <v>0</v>
      </c>
      <c r="T82" s="1">
        <v>0</v>
      </c>
      <c r="U82" s="1">
        <v>343319</v>
      </c>
      <c r="V82" s="1">
        <v>0</v>
      </c>
      <c r="W82" s="1">
        <v>38298</v>
      </c>
      <c r="X82" s="1">
        <v>0</v>
      </c>
      <c r="Y82" s="1">
        <v>203479</v>
      </c>
      <c r="Z82" s="1">
        <v>0</v>
      </c>
      <c r="AA82" s="1">
        <v>107306</v>
      </c>
      <c r="AB82" s="1">
        <v>0</v>
      </c>
      <c r="AC82" s="1">
        <v>250610</v>
      </c>
      <c r="AD82" s="1">
        <v>0</v>
      </c>
      <c r="AE82" s="1">
        <f t="shared" si="5"/>
        <v>3503458</v>
      </c>
      <c r="AF82" s="9">
        <f t="shared" si="6"/>
        <v>6.9874963536026402E-2</v>
      </c>
      <c r="AG82" s="9">
        <f t="shared" si="7"/>
        <v>1.1088758592225167E-2</v>
      </c>
      <c r="AH82" s="9">
        <f t="shared" si="8"/>
        <v>2.1970007917891408E-2</v>
      </c>
      <c r="AI82" s="9">
        <f t="shared" si="9"/>
        <v>0</v>
      </c>
      <c r="AJ82" s="1" t="str">
        <f>IF(VLOOKUP(A82,Hospital!A:C,3,FALSE)="H","Hospital","Freestanding")</f>
        <v>Freestanding</v>
      </c>
      <c r="AK82" s="1">
        <v>2024</v>
      </c>
    </row>
    <row r="83" spans="1:37">
      <c r="A83" s="1">
        <v>26003</v>
      </c>
      <c r="B83" s="1" t="s">
        <v>248</v>
      </c>
      <c r="C83" s="1">
        <v>210727</v>
      </c>
      <c r="D83" s="1">
        <v>10946</v>
      </c>
      <c r="E83" s="1">
        <v>58678</v>
      </c>
      <c r="F83" s="1">
        <v>42450</v>
      </c>
      <c r="G83" s="1">
        <v>118327</v>
      </c>
      <c r="H83" s="1">
        <v>472069</v>
      </c>
      <c r="I83" s="1">
        <v>395913</v>
      </c>
      <c r="J83" s="1">
        <v>1061812</v>
      </c>
      <c r="K83" s="1">
        <v>0</v>
      </c>
      <c r="L83" s="1">
        <v>0</v>
      </c>
      <c r="M83" s="1">
        <v>0</v>
      </c>
      <c r="N83" s="1">
        <v>0</v>
      </c>
      <c r="O83" s="1">
        <v>126787</v>
      </c>
      <c r="P83" s="1">
        <v>0</v>
      </c>
      <c r="Q83" s="1">
        <v>0</v>
      </c>
      <c r="R83" s="1">
        <v>-8395</v>
      </c>
      <c r="S83" s="1">
        <v>0</v>
      </c>
      <c r="T83" s="1">
        <v>0</v>
      </c>
      <c r="U83" s="1">
        <v>241152</v>
      </c>
      <c r="V83" s="1">
        <v>5931</v>
      </c>
      <c r="W83" s="1">
        <v>12379</v>
      </c>
      <c r="X83" s="1">
        <v>16</v>
      </c>
      <c r="Y83" s="1">
        <v>141657</v>
      </c>
      <c r="Z83" s="1">
        <v>4486</v>
      </c>
      <c r="AA83" s="1">
        <v>58317</v>
      </c>
      <c r="AB83" s="1">
        <v>-7272</v>
      </c>
      <c r="AC83" s="1">
        <v>176913</v>
      </c>
      <c r="AD83" s="1">
        <v>11390</v>
      </c>
      <c r="AE83" s="1">
        <f t="shared" si="5"/>
        <v>2811482</v>
      </c>
      <c r="AF83" s="9">
        <f t="shared" si="6"/>
        <v>7.4952284951495335E-2</v>
      </c>
      <c r="AG83" s="9">
        <f t="shared" si="7"/>
        <v>3.8933203200305034E-3</v>
      </c>
      <c r="AH83" s="9">
        <f t="shared" si="8"/>
        <v>2.0870843206536625E-2</v>
      </c>
      <c r="AI83" s="9">
        <f t="shared" si="9"/>
        <v>1.509879842730631E-2</v>
      </c>
      <c r="AJ83" s="1" t="str">
        <f>IF(VLOOKUP(A83,Hospital!A:C,3,FALSE)="H","Hospital","Freestanding")</f>
        <v>Freestanding</v>
      </c>
      <c r="AK83" s="1">
        <v>2024</v>
      </c>
    </row>
    <row r="84" spans="1:37">
      <c r="A84" s="1">
        <v>27001</v>
      </c>
      <c r="B84" s="1" t="s">
        <v>249</v>
      </c>
      <c r="C84" s="1">
        <v>40791</v>
      </c>
      <c r="D84" s="1">
        <v>5301</v>
      </c>
      <c r="E84" s="1">
        <v>13990</v>
      </c>
      <c r="F84" s="1">
        <v>0</v>
      </c>
      <c r="G84" s="1">
        <v>49553</v>
      </c>
      <c r="H84" s="1">
        <v>29730</v>
      </c>
      <c r="I84" s="1">
        <v>233115</v>
      </c>
      <c r="J84" s="1">
        <v>20943</v>
      </c>
      <c r="K84" s="1">
        <v>220</v>
      </c>
      <c r="L84" s="1">
        <v>19646</v>
      </c>
      <c r="M84" s="1">
        <v>0</v>
      </c>
      <c r="N84" s="1">
        <v>39103</v>
      </c>
      <c r="O84" s="1">
        <v>46990</v>
      </c>
      <c r="P84" s="1">
        <v>0</v>
      </c>
      <c r="Q84" s="1">
        <v>4731</v>
      </c>
      <c r="R84" s="1">
        <v>0</v>
      </c>
      <c r="S84" s="1">
        <v>0</v>
      </c>
      <c r="T84" s="1">
        <v>0</v>
      </c>
      <c r="U84" s="1">
        <v>62260</v>
      </c>
      <c r="V84" s="1">
        <v>0</v>
      </c>
      <c r="W84" s="1">
        <v>0</v>
      </c>
      <c r="X84" s="1">
        <v>0</v>
      </c>
      <c r="Y84" s="1">
        <v>3580</v>
      </c>
      <c r="Z84" s="1">
        <v>0</v>
      </c>
      <c r="AA84" s="1">
        <v>9588</v>
      </c>
      <c r="AB84" s="1">
        <v>0</v>
      </c>
      <c r="AC84" s="1">
        <v>3050</v>
      </c>
      <c r="AD84" s="1">
        <v>0</v>
      </c>
      <c r="AE84" s="1">
        <f t="shared" si="5"/>
        <v>522509</v>
      </c>
      <c r="AF84" s="9">
        <f t="shared" si="6"/>
        <v>7.8067554817237594E-2</v>
      </c>
      <c r="AG84" s="9">
        <f t="shared" si="7"/>
        <v>1.014527979422364E-2</v>
      </c>
      <c r="AH84" s="9">
        <f t="shared" si="8"/>
        <v>2.6774658426936188E-2</v>
      </c>
      <c r="AI84" s="9">
        <f t="shared" si="9"/>
        <v>0</v>
      </c>
      <c r="AJ84" s="1" t="str">
        <f>IF(VLOOKUP(A84,Hospital!A:C,3,FALSE)="H","Hospital","Freestanding")</f>
        <v>Freestanding</v>
      </c>
      <c r="AK84" s="1">
        <v>2024</v>
      </c>
    </row>
    <row r="85" spans="1:37">
      <c r="A85" s="1">
        <v>27002</v>
      </c>
      <c r="B85" s="1" t="s">
        <v>250</v>
      </c>
      <c r="C85" s="1">
        <v>365835</v>
      </c>
      <c r="D85" s="1">
        <v>42687</v>
      </c>
      <c r="E85" s="1">
        <v>84507</v>
      </c>
      <c r="F85" s="1">
        <v>2118</v>
      </c>
      <c r="G85" s="1">
        <v>449294</v>
      </c>
      <c r="H85" s="1">
        <v>462046</v>
      </c>
      <c r="I85" s="1">
        <v>945029</v>
      </c>
      <c r="J85" s="1">
        <v>1273656</v>
      </c>
      <c r="K85" s="1">
        <v>116783</v>
      </c>
      <c r="L85" s="1">
        <v>123721</v>
      </c>
      <c r="M85" s="1">
        <v>0</v>
      </c>
      <c r="N85" s="1">
        <v>169242</v>
      </c>
      <c r="O85" s="1">
        <v>122729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416101</v>
      </c>
      <c r="V85" s="1">
        <v>0</v>
      </c>
      <c r="W85" s="1">
        <v>26896</v>
      </c>
      <c r="X85" s="1">
        <v>0</v>
      </c>
      <c r="Y85" s="1">
        <v>193977</v>
      </c>
      <c r="Z85" s="1">
        <v>0</v>
      </c>
      <c r="AA85" s="1">
        <v>125266</v>
      </c>
      <c r="AB85" s="1">
        <v>0</v>
      </c>
      <c r="AC85" s="1">
        <v>337552</v>
      </c>
      <c r="AD85" s="1">
        <v>0</v>
      </c>
      <c r="AE85" s="1">
        <f t="shared" si="5"/>
        <v>4762292</v>
      </c>
      <c r="AF85" s="9">
        <f t="shared" si="6"/>
        <v>7.6819103070538297E-2</v>
      </c>
      <c r="AG85" s="9">
        <f t="shared" si="7"/>
        <v>8.9635410848389815E-3</v>
      </c>
      <c r="AH85" s="9">
        <f t="shared" si="8"/>
        <v>1.7745026974406442E-2</v>
      </c>
      <c r="AI85" s="9">
        <f t="shared" si="9"/>
        <v>4.4474383343146533E-4</v>
      </c>
      <c r="AJ85" s="1" t="str">
        <f>IF(VLOOKUP(A85,Hospital!A:C,3,FALSE)="H","Hospital","Freestanding")</f>
        <v>Freestanding</v>
      </c>
      <c r="AK85" s="1">
        <v>2024</v>
      </c>
    </row>
    <row r="86" spans="1:37">
      <c r="A86" s="1">
        <v>27004</v>
      </c>
      <c r="B86" s="1" t="s">
        <v>251</v>
      </c>
      <c r="C86" s="1">
        <v>311183</v>
      </c>
      <c r="D86" s="1">
        <v>19601</v>
      </c>
      <c r="E86" s="1">
        <v>27698</v>
      </c>
      <c r="F86" s="1">
        <v>23958</v>
      </c>
      <c r="G86" s="1">
        <v>384810</v>
      </c>
      <c r="H86" s="1">
        <v>1047573</v>
      </c>
      <c r="I86" s="1">
        <v>255587</v>
      </c>
      <c r="J86" s="1">
        <v>1092187</v>
      </c>
      <c r="K86" s="1">
        <v>203977</v>
      </c>
      <c r="L86" s="1">
        <v>73285</v>
      </c>
      <c r="M86" s="1">
        <v>0</v>
      </c>
      <c r="N86" s="1">
        <v>85350</v>
      </c>
      <c r="O86" s="1">
        <v>105489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404523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65697</v>
      </c>
      <c r="AB86" s="1">
        <v>0</v>
      </c>
      <c r="AC86" s="1">
        <v>344743</v>
      </c>
      <c r="AD86" s="1">
        <v>0</v>
      </c>
      <c r="AE86" s="1">
        <f t="shared" si="5"/>
        <v>4063221</v>
      </c>
      <c r="AF86" s="9">
        <f t="shared" si="6"/>
        <v>7.6585300184262683E-2</v>
      </c>
      <c r="AG86" s="9">
        <f t="shared" si="7"/>
        <v>4.8240053888282224E-3</v>
      </c>
      <c r="AH86" s="9">
        <f t="shared" si="8"/>
        <v>6.8167594132832058E-3</v>
      </c>
      <c r="AI86" s="9">
        <f t="shared" si="9"/>
        <v>5.8963073876611687E-3</v>
      </c>
      <c r="AJ86" s="1" t="str">
        <f>IF(VLOOKUP(A86,Hospital!A:C,3,FALSE)="H","Hospital","Freestanding")</f>
        <v>Freestanding</v>
      </c>
      <c r="AK86" s="1">
        <v>2024</v>
      </c>
    </row>
    <row r="87" spans="1:37">
      <c r="A87" s="1">
        <v>27005</v>
      </c>
      <c r="B87" s="1" t="s">
        <v>252</v>
      </c>
      <c r="C87" s="1">
        <v>826910</v>
      </c>
      <c r="D87" s="1">
        <v>54456</v>
      </c>
      <c r="E87" s="1">
        <v>64301</v>
      </c>
      <c r="F87" s="1">
        <v>372723</v>
      </c>
      <c r="G87" s="1">
        <v>839561</v>
      </c>
      <c r="H87" s="1">
        <v>3071915</v>
      </c>
      <c r="I87" s="1">
        <v>1037211</v>
      </c>
      <c r="J87" s="1">
        <v>3155824</v>
      </c>
      <c r="K87" s="1">
        <v>156573</v>
      </c>
      <c r="L87" s="1">
        <v>305872</v>
      </c>
      <c r="M87" s="1">
        <v>0</v>
      </c>
      <c r="N87" s="1">
        <v>326725</v>
      </c>
      <c r="O87" s="1">
        <v>187037</v>
      </c>
      <c r="P87" s="1">
        <v>51799</v>
      </c>
      <c r="Q87" s="1">
        <v>104383</v>
      </c>
      <c r="R87" s="1">
        <v>32854</v>
      </c>
      <c r="S87" s="1">
        <v>0</v>
      </c>
      <c r="T87" s="1">
        <v>0</v>
      </c>
      <c r="U87" s="1">
        <v>753193</v>
      </c>
      <c r="V87" s="1">
        <v>-1459</v>
      </c>
      <c r="W87" s="1">
        <v>116746</v>
      </c>
      <c r="X87" s="1">
        <v>-391</v>
      </c>
      <c r="Y87" s="1">
        <v>331417</v>
      </c>
      <c r="Z87" s="1">
        <v>-753</v>
      </c>
      <c r="AA87" s="1">
        <v>331947</v>
      </c>
      <c r="AB87" s="1">
        <v>-192</v>
      </c>
      <c r="AC87" s="1">
        <v>478443</v>
      </c>
      <c r="AD87" s="1">
        <v>-11004</v>
      </c>
      <c r="AE87" s="1">
        <f t="shared" si="5"/>
        <v>11267701</v>
      </c>
      <c r="AF87" s="9">
        <f t="shared" si="6"/>
        <v>7.3387641365350392E-2</v>
      </c>
      <c r="AG87" s="9">
        <f t="shared" si="7"/>
        <v>4.8329290952963695E-3</v>
      </c>
      <c r="AH87" s="9">
        <f t="shared" si="8"/>
        <v>5.7066654502102958E-3</v>
      </c>
      <c r="AI87" s="9">
        <f t="shared" si="9"/>
        <v>3.3078886278576261E-2</v>
      </c>
      <c r="AJ87" s="1" t="str">
        <f>IF(VLOOKUP(A87,Hospital!A:C,3,FALSE)="H","Hospital","Freestanding")</f>
        <v>Freestanding</v>
      </c>
      <c r="AK87" s="1">
        <v>2024</v>
      </c>
    </row>
    <row r="88" spans="1:37">
      <c r="A88" s="1">
        <v>27007</v>
      </c>
      <c r="B88" s="1" t="s">
        <v>253</v>
      </c>
      <c r="C88" s="1">
        <v>42619</v>
      </c>
      <c r="D88" s="1">
        <v>0</v>
      </c>
      <c r="E88" s="1">
        <v>9861</v>
      </c>
      <c r="F88" s="1">
        <v>2478</v>
      </c>
      <c r="G88" s="1">
        <v>27425</v>
      </c>
      <c r="H88" s="1">
        <v>241773</v>
      </c>
      <c r="I88" s="1">
        <v>152340</v>
      </c>
      <c r="J88" s="1">
        <v>0</v>
      </c>
      <c r="K88" s="1">
        <v>0</v>
      </c>
      <c r="L88" s="1">
        <v>1840</v>
      </c>
      <c r="M88" s="1">
        <v>0</v>
      </c>
      <c r="N88" s="1">
        <v>0</v>
      </c>
      <c r="O88" s="1">
        <v>30516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63258</v>
      </c>
      <c r="V88" s="1">
        <v>0</v>
      </c>
      <c r="W88" s="1">
        <v>3253</v>
      </c>
      <c r="X88" s="1">
        <v>0</v>
      </c>
      <c r="Y88" s="1">
        <v>31276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f t="shared" si="5"/>
        <v>551681</v>
      </c>
      <c r="AF88" s="9">
        <f t="shared" si="6"/>
        <v>7.7252977717195262E-2</v>
      </c>
      <c r="AG88" s="9">
        <f t="shared" si="7"/>
        <v>0</v>
      </c>
      <c r="AH88" s="9">
        <f t="shared" si="8"/>
        <v>1.7874460059345891E-2</v>
      </c>
      <c r="AI88" s="9">
        <f t="shared" si="9"/>
        <v>4.4917261968420155E-3</v>
      </c>
      <c r="AJ88" s="1" t="str">
        <f>IF(VLOOKUP(A88,Hospital!A:C,3,FALSE)="H","Hospital","Freestanding")</f>
        <v>Freestanding</v>
      </c>
      <c r="AK88" s="1">
        <v>2024</v>
      </c>
    </row>
    <row r="89" spans="1:37">
      <c r="A89" s="1">
        <v>27013</v>
      </c>
      <c r="B89" s="1" t="s">
        <v>254</v>
      </c>
      <c r="C89" s="1">
        <v>1211772</v>
      </c>
      <c r="D89" s="1">
        <v>15440</v>
      </c>
      <c r="E89" s="1">
        <v>184722</v>
      </c>
      <c r="F89" s="1">
        <v>345745</v>
      </c>
      <c r="G89" s="1">
        <v>1201400</v>
      </c>
      <c r="H89" s="1">
        <v>3037846</v>
      </c>
      <c r="I89" s="1">
        <v>2041356</v>
      </c>
      <c r="J89" s="1">
        <v>4194339</v>
      </c>
      <c r="K89" s="1">
        <v>72632</v>
      </c>
      <c r="L89" s="1">
        <v>227605</v>
      </c>
      <c r="M89" s="1">
        <v>0</v>
      </c>
      <c r="N89" s="1">
        <v>317937</v>
      </c>
      <c r="O89" s="1">
        <v>235051</v>
      </c>
      <c r="P89" s="1">
        <v>134874</v>
      </c>
      <c r="Q89" s="1">
        <v>0</v>
      </c>
      <c r="R89" s="1">
        <v>27261</v>
      </c>
      <c r="S89" s="1">
        <v>0</v>
      </c>
      <c r="T89" s="1">
        <v>0</v>
      </c>
      <c r="U89" s="1">
        <v>1809761</v>
      </c>
      <c r="V89" s="1">
        <v>3019</v>
      </c>
      <c r="W89" s="1">
        <v>209784</v>
      </c>
      <c r="X89" s="1">
        <v>-3716</v>
      </c>
      <c r="Y89" s="1">
        <v>389926</v>
      </c>
      <c r="Z89" s="1">
        <v>-716</v>
      </c>
      <c r="AA89" s="1">
        <v>288506</v>
      </c>
      <c r="AB89" s="1">
        <v>-8737</v>
      </c>
      <c r="AC89" s="1">
        <v>637281</v>
      </c>
      <c r="AD89" s="1">
        <v>558</v>
      </c>
      <c r="AE89" s="1">
        <f t="shared" si="5"/>
        <v>14815967</v>
      </c>
      <c r="AF89" s="9">
        <f t="shared" si="6"/>
        <v>8.1788249123395051E-2</v>
      </c>
      <c r="AG89" s="9">
        <f t="shared" si="7"/>
        <v>1.0421189518038207E-3</v>
      </c>
      <c r="AH89" s="9">
        <f t="shared" si="8"/>
        <v>1.2467765350719261E-2</v>
      </c>
      <c r="AI89" s="9">
        <f t="shared" si="9"/>
        <v>2.3335972603070729E-2</v>
      </c>
      <c r="AJ89" s="1" t="str">
        <f>IF(VLOOKUP(A89,Hospital!A:C,3,FALSE)="H","Hospital","Freestanding")</f>
        <v>Freestanding</v>
      </c>
      <c r="AK89" s="1">
        <v>2024</v>
      </c>
    </row>
    <row r="90" spans="1:37">
      <c r="A90" s="1">
        <v>27014</v>
      </c>
      <c r="B90" s="1" t="s">
        <v>255</v>
      </c>
      <c r="C90" s="1">
        <v>655790</v>
      </c>
      <c r="D90" s="1">
        <v>32472</v>
      </c>
      <c r="E90" s="1">
        <v>70645</v>
      </c>
      <c r="F90" s="1">
        <v>119053</v>
      </c>
      <c r="G90" s="1">
        <v>605534</v>
      </c>
      <c r="H90" s="1">
        <v>2396472</v>
      </c>
      <c r="I90" s="1">
        <v>1086362</v>
      </c>
      <c r="J90" s="1">
        <v>2869226</v>
      </c>
      <c r="K90" s="1">
        <v>86545</v>
      </c>
      <c r="L90" s="1">
        <v>142412</v>
      </c>
      <c r="M90" s="1">
        <v>0</v>
      </c>
      <c r="N90" s="1">
        <v>161820</v>
      </c>
      <c r="O90" s="1">
        <v>101070</v>
      </c>
      <c r="P90" s="1">
        <v>0</v>
      </c>
      <c r="Q90" s="1">
        <v>620</v>
      </c>
      <c r="R90" s="1">
        <v>0</v>
      </c>
      <c r="S90" s="1">
        <v>0</v>
      </c>
      <c r="T90" s="1">
        <v>0</v>
      </c>
      <c r="U90" s="1">
        <v>834678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125361</v>
      </c>
      <c r="AB90" s="1">
        <v>0</v>
      </c>
      <c r="AC90" s="1">
        <v>436097</v>
      </c>
      <c r="AD90" s="1">
        <v>0</v>
      </c>
      <c r="AE90" s="1">
        <f t="shared" si="5"/>
        <v>8846197</v>
      </c>
      <c r="AF90" s="9">
        <f t="shared" si="6"/>
        <v>7.4132420971407265E-2</v>
      </c>
      <c r="AG90" s="9">
        <f t="shared" si="7"/>
        <v>3.6707299193088285E-3</v>
      </c>
      <c r="AH90" s="9">
        <f t="shared" si="8"/>
        <v>7.9859175643499682E-3</v>
      </c>
      <c r="AI90" s="9">
        <f t="shared" si="9"/>
        <v>1.3458099565270816E-2</v>
      </c>
      <c r="AJ90" s="1" t="str">
        <f>IF(VLOOKUP(A90,Hospital!A:C,3,FALSE)="H","Hospital","Freestanding")</f>
        <v>Freestanding</v>
      </c>
      <c r="AK90" s="1">
        <v>2024</v>
      </c>
    </row>
    <row r="91" spans="1:37">
      <c r="A91" s="1">
        <v>27015</v>
      </c>
      <c r="B91" s="1" t="s">
        <v>256</v>
      </c>
      <c r="C91" s="1">
        <v>152836</v>
      </c>
      <c r="D91" s="1">
        <v>13703</v>
      </c>
      <c r="E91" s="1">
        <v>23447</v>
      </c>
      <c r="F91" s="1">
        <v>19751</v>
      </c>
      <c r="G91" s="1">
        <v>90600</v>
      </c>
      <c r="H91" s="1">
        <v>684788</v>
      </c>
      <c r="I91" s="1">
        <v>71098</v>
      </c>
      <c r="J91" s="1">
        <v>475144</v>
      </c>
      <c r="K91" s="1">
        <v>26557</v>
      </c>
      <c r="L91" s="1">
        <v>37204</v>
      </c>
      <c r="M91" s="1">
        <v>0</v>
      </c>
      <c r="N91" s="1">
        <v>47032</v>
      </c>
      <c r="O91" s="1">
        <v>56378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297236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62101</v>
      </c>
      <c r="AB91" s="1">
        <v>0</v>
      </c>
      <c r="AC91" s="1">
        <v>200094</v>
      </c>
      <c r="AD91" s="1">
        <v>0</v>
      </c>
      <c r="AE91" s="1">
        <f t="shared" si="5"/>
        <v>2048232</v>
      </c>
      <c r="AF91" s="9">
        <f t="shared" si="6"/>
        <v>7.4618500248018776E-2</v>
      </c>
      <c r="AG91" s="9">
        <f t="shared" si="7"/>
        <v>6.690160099051279E-3</v>
      </c>
      <c r="AH91" s="9">
        <f t="shared" si="8"/>
        <v>1.14474336891524E-2</v>
      </c>
      <c r="AI91" s="9">
        <f t="shared" si="9"/>
        <v>9.6429506032519752E-3</v>
      </c>
      <c r="AJ91" s="1" t="str">
        <f>IF(VLOOKUP(A91,Hospital!A:C,3,FALSE)="H","Hospital","Freestanding")</f>
        <v>Freestanding</v>
      </c>
      <c r="AK91" s="1">
        <v>2024</v>
      </c>
    </row>
    <row r="92" spans="1:37">
      <c r="A92" s="1">
        <v>27017</v>
      </c>
      <c r="B92" s="1" t="s">
        <v>257</v>
      </c>
      <c r="C92" s="1">
        <v>149332</v>
      </c>
      <c r="D92" s="1">
        <v>19508</v>
      </c>
      <c r="E92" s="1">
        <v>44048</v>
      </c>
      <c r="F92" s="1">
        <v>0</v>
      </c>
      <c r="G92" s="1">
        <v>163154</v>
      </c>
      <c r="H92" s="1">
        <v>162905</v>
      </c>
      <c r="I92" s="1">
        <v>329052</v>
      </c>
      <c r="J92" s="1">
        <v>220935</v>
      </c>
      <c r="K92" s="1">
        <v>128573</v>
      </c>
      <c r="L92" s="1">
        <v>74002</v>
      </c>
      <c r="M92" s="1">
        <v>0</v>
      </c>
      <c r="N92" s="1">
        <v>128165</v>
      </c>
      <c r="O92" s="1">
        <v>143214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235440</v>
      </c>
      <c r="V92" s="1">
        <v>0</v>
      </c>
      <c r="W92" s="1">
        <v>50751</v>
      </c>
      <c r="X92" s="1">
        <v>0</v>
      </c>
      <c r="Y92" s="1">
        <v>186171</v>
      </c>
      <c r="Z92" s="1">
        <v>0</v>
      </c>
      <c r="AA92" s="1">
        <v>139478</v>
      </c>
      <c r="AB92" s="1">
        <v>0</v>
      </c>
      <c r="AC92" s="1">
        <v>159832</v>
      </c>
      <c r="AD92" s="1">
        <v>0</v>
      </c>
      <c r="AE92" s="1">
        <f t="shared" si="5"/>
        <v>2121672</v>
      </c>
      <c r="AF92" s="9">
        <f t="shared" si="6"/>
        <v>7.0384112153056649E-2</v>
      </c>
      <c r="AG92" s="9">
        <f t="shared" si="7"/>
        <v>9.1946351745227344E-3</v>
      </c>
      <c r="AH92" s="9">
        <f t="shared" si="8"/>
        <v>2.0760984732795643E-2</v>
      </c>
      <c r="AI92" s="9">
        <f t="shared" si="9"/>
        <v>0</v>
      </c>
      <c r="AJ92" s="1" t="str">
        <f>IF(VLOOKUP(A92,Hospital!A:C,3,FALSE)="H","Hospital","Freestanding")</f>
        <v>Freestanding</v>
      </c>
      <c r="AK92" s="1">
        <v>2024</v>
      </c>
    </row>
    <row r="93" spans="1:37">
      <c r="A93" s="1">
        <v>27020</v>
      </c>
      <c r="B93" s="1" t="s">
        <v>258</v>
      </c>
      <c r="C93" s="1">
        <v>371860</v>
      </c>
      <c r="D93" s="1">
        <v>0</v>
      </c>
      <c r="E93" s="1">
        <v>6047</v>
      </c>
      <c r="F93" s="1">
        <v>88930</v>
      </c>
      <c r="G93" s="1">
        <v>279245</v>
      </c>
      <c r="H93" s="1">
        <v>2585914</v>
      </c>
      <c r="I93" s="1">
        <v>82962</v>
      </c>
      <c r="J93" s="1">
        <v>1141292</v>
      </c>
      <c r="K93" s="1">
        <v>0</v>
      </c>
      <c r="L93" s="1">
        <v>225110</v>
      </c>
      <c r="M93" s="1">
        <v>0</v>
      </c>
      <c r="N93" s="1">
        <v>177384</v>
      </c>
      <c r="O93" s="1">
        <v>16884</v>
      </c>
      <c r="P93" s="1">
        <v>0</v>
      </c>
      <c r="Q93" s="1">
        <v>0</v>
      </c>
      <c r="R93" s="1">
        <v>-26492</v>
      </c>
      <c r="S93" s="1">
        <v>0</v>
      </c>
      <c r="T93" s="1">
        <v>0</v>
      </c>
      <c r="U93" s="1">
        <v>352778</v>
      </c>
      <c r="V93" s="1">
        <v>-1161</v>
      </c>
      <c r="W93" s="1">
        <v>0</v>
      </c>
      <c r="X93" s="1">
        <v>0</v>
      </c>
      <c r="Y93" s="1">
        <v>0</v>
      </c>
      <c r="Z93" s="1">
        <v>0</v>
      </c>
      <c r="AA93" s="1">
        <v>45913</v>
      </c>
      <c r="AB93" s="1">
        <v>0</v>
      </c>
      <c r="AC93" s="1">
        <v>202383</v>
      </c>
      <c r="AD93" s="1">
        <v>0</v>
      </c>
      <c r="AE93" s="1">
        <f t="shared" si="5"/>
        <v>5082212</v>
      </c>
      <c r="AF93" s="9">
        <f t="shared" si="6"/>
        <v>7.316892723089867E-2</v>
      </c>
      <c r="AG93" s="9">
        <f t="shared" si="7"/>
        <v>0</v>
      </c>
      <c r="AH93" s="9">
        <f t="shared" si="8"/>
        <v>1.1898362366623038E-3</v>
      </c>
      <c r="AI93" s="9">
        <f t="shared" si="9"/>
        <v>1.7498286179325067E-2</v>
      </c>
      <c r="AJ93" s="1" t="str">
        <f>IF(VLOOKUP(A93,Hospital!A:C,3,FALSE)="H","Hospital","Freestanding")</f>
        <v>Freestanding</v>
      </c>
      <c r="AK93" s="1">
        <v>2024</v>
      </c>
    </row>
    <row r="94" spans="1:37">
      <c r="A94" s="1">
        <v>27021</v>
      </c>
      <c r="B94" s="1" t="s">
        <v>259</v>
      </c>
      <c r="C94" s="1">
        <v>667745</v>
      </c>
      <c r="D94" s="1">
        <v>5976</v>
      </c>
      <c r="E94" s="1">
        <v>328481</v>
      </c>
      <c r="F94" s="1">
        <v>162817</v>
      </c>
      <c r="G94" s="1">
        <v>442645</v>
      </c>
      <c r="H94" s="1">
        <v>1589243</v>
      </c>
      <c r="I94" s="1">
        <v>1161750</v>
      </c>
      <c r="J94" s="1">
        <v>2637750</v>
      </c>
      <c r="K94" s="1">
        <v>395055</v>
      </c>
      <c r="L94" s="1">
        <v>188450</v>
      </c>
      <c r="M94" s="1">
        <v>0</v>
      </c>
      <c r="N94" s="1">
        <v>322092</v>
      </c>
      <c r="O94" s="1">
        <v>122021</v>
      </c>
      <c r="P94" s="1">
        <v>190179</v>
      </c>
      <c r="Q94" s="1">
        <v>97649</v>
      </c>
      <c r="R94" s="1">
        <v>0</v>
      </c>
      <c r="S94" s="1">
        <v>0</v>
      </c>
      <c r="T94" s="1">
        <v>0</v>
      </c>
      <c r="U94" s="1">
        <v>744516</v>
      </c>
      <c r="V94" s="1">
        <v>0</v>
      </c>
      <c r="W94" s="1">
        <v>104763</v>
      </c>
      <c r="X94" s="1">
        <v>0</v>
      </c>
      <c r="Y94" s="1">
        <v>342096</v>
      </c>
      <c r="Z94" s="1">
        <v>0</v>
      </c>
      <c r="AA94" s="1">
        <v>167126</v>
      </c>
      <c r="AB94" s="1">
        <v>0</v>
      </c>
      <c r="AC94" s="1">
        <v>409123</v>
      </c>
      <c r="AD94" s="1">
        <v>0</v>
      </c>
      <c r="AE94" s="1">
        <f t="shared" si="5"/>
        <v>8914458</v>
      </c>
      <c r="AF94" s="9">
        <f t="shared" si="6"/>
        <v>7.4905843967182306E-2</v>
      </c>
      <c r="AG94" s="9">
        <f t="shared" si="7"/>
        <v>6.7037165916312578E-4</v>
      </c>
      <c r="AH94" s="9">
        <f t="shared" si="8"/>
        <v>3.6848117967463644E-2</v>
      </c>
      <c r="AI94" s="9">
        <f t="shared" si="9"/>
        <v>1.8264374569940203E-2</v>
      </c>
      <c r="AJ94" s="1" t="str">
        <f>IF(VLOOKUP(A94,Hospital!A:C,3,FALSE)="H","Hospital","Freestanding")</f>
        <v>Freestanding</v>
      </c>
      <c r="AK94" s="1">
        <v>2024</v>
      </c>
    </row>
    <row r="95" spans="1:37">
      <c r="A95" s="1">
        <v>27022</v>
      </c>
      <c r="B95" s="1" t="s">
        <v>260</v>
      </c>
      <c r="C95" s="1">
        <v>0</v>
      </c>
      <c r="D95" s="1">
        <v>0</v>
      </c>
      <c r="E95" s="1">
        <v>0</v>
      </c>
      <c r="F95" s="1">
        <v>0</v>
      </c>
      <c r="G95" s="1">
        <v>346348</v>
      </c>
      <c r="H95" s="1">
        <v>3180794</v>
      </c>
      <c r="I95" s="1">
        <v>0</v>
      </c>
      <c r="J95" s="1">
        <v>737821</v>
      </c>
      <c r="K95" s="1">
        <v>0</v>
      </c>
      <c r="L95" s="1">
        <v>77488</v>
      </c>
      <c r="M95" s="1">
        <v>0</v>
      </c>
      <c r="N95" s="1">
        <v>109894</v>
      </c>
      <c r="O95" s="1">
        <v>13763</v>
      </c>
      <c r="P95" s="1">
        <v>0</v>
      </c>
      <c r="Q95" s="1">
        <v>0</v>
      </c>
      <c r="R95" s="1">
        <v>-29911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f t="shared" si="5"/>
        <v>4436197</v>
      </c>
      <c r="AF95" s="9">
        <f t="shared" si="6"/>
        <v>0</v>
      </c>
      <c r="AG95" s="9">
        <f t="shared" si="7"/>
        <v>0</v>
      </c>
      <c r="AH95" s="9">
        <f t="shared" si="8"/>
        <v>0</v>
      </c>
      <c r="AI95" s="9">
        <f t="shared" si="9"/>
        <v>0</v>
      </c>
      <c r="AJ95" s="1" t="str">
        <f>IF(VLOOKUP(A95,Hospital!A:C,3,FALSE)="H","Hospital","Freestanding")</f>
        <v>Hospital</v>
      </c>
      <c r="AK95" s="1">
        <v>2024</v>
      </c>
    </row>
    <row r="96" spans="1:37">
      <c r="A96" s="1">
        <v>27025</v>
      </c>
      <c r="B96" s="1" t="s">
        <v>261</v>
      </c>
      <c r="C96" s="1">
        <v>661716</v>
      </c>
      <c r="D96" s="1">
        <v>46715</v>
      </c>
      <c r="E96" s="1">
        <v>110823</v>
      </c>
      <c r="F96" s="1">
        <v>0</v>
      </c>
      <c r="G96" s="1">
        <v>1042250</v>
      </c>
      <c r="H96" s="1">
        <v>1292370</v>
      </c>
      <c r="I96" s="1">
        <v>1394157</v>
      </c>
      <c r="J96" s="1">
        <v>3807242</v>
      </c>
      <c r="K96" s="1">
        <v>300725</v>
      </c>
      <c r="L96" s="1">
        <v>93588</v>
      </c>
      <c r="M96" s="1">
        <v>0</v>
      </c>
      <c r="N96" s="1">
        <v>244911</v>
      </c>
      <c r="O96" s="1">
        <v>283469</v>
      </c>
      <c r="P96" s="1">
        <v>100145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156390</v>
      </c>
      <c r="AB96" s="1">
        <v>0</v>
      </c>
      <c r="AC96" s="1">
        <v>522778</v>
      </c>
      <c r="AD96" s="1">
        <v>0</v>
      </c>
      <c r="AE96" s="1">
        <f t="shared" si="5"/>
        <v>9238025</v>
      </c>
      <c r="AF96" s="9">
        <f t="shared" si="6"/>
        <v>7.1629596152857342E-2</v>
      </c>
      <c r="AG96" s="9">
        <f t="shared" si="7"/>
        <v>5.0568167979627683E-3</v>
      </c>
      <c r="AH96" s="9">
        <f t="shared" si="8"/>
        <v>1.1996395333418128E-2</v>
      </c>
      <c r="AI96" s="9">
        <f t="shared" si="9"/>
        <v>0</v>
      </c>
      <c r="AJ96" s="1" t="str">
        <f>IF(VLOOKUP(A96,Hospital!A:C,3,FALSE)="H","Hospital","Freestanding")</f>
        <v>Freestanding</v>
      </c>
      <c r="AK96" s="1">
        <v>2024</v>
      </c>
    </row>
    <row r="97" spans="1:37">
      <c r="A97" s="1">
        <v>27026</v>
      </c>
      <c r="B97" s="1" t="s">
        <v>262</v>
      </c>
      <c r="C97" s="1">
        <v>696220</v>
      </c>
      <c r="D97" s="1">
        <v>62396</v>
      </c>
      <c r="E97" s="1">
        <v>18669</v>
      </c>
      <c r="F97" s="1">
        <v>340836</v>
      </c>
      <c r="G97" s="1">
        <v>832606</v>
      </c>
      <c r="H97" s="1">
        <v>1615020</v>
      </c>
      <c r="I97" s="1">
        <v>1297017</v>
      </c>
      <c r="J97" s="1">
        <v>3082029</v>
      </c>
      <c r="K97" s="1">
        <v>233260</v>
      </c>
      <c r="L97" s="1">
        <v>225984</v>
      </c>
      <c r="M97" s="1">
        <v>0</v>
      </c>
      <c r="N97" s="1">
        <v>224988</v>
      </c>
      <c r="O97" s="1">
        <v>253064</v>
      </c>
      <c r="P97" s="1">
        <v>34180</v>
      </c>
      <c r="Q97" s="1">
        <v>66581</v>
      </c>
      <c r="R97" s="1">
        <v>89118</v>
      </c>
      <c r="S97" s="1">
        <v>0</v>
      </c>
      <c r="T97" s="1">
        <v>0</v>
      </c>
      <c r="U97" s="1">
        <v>658235</v>
      </c>
      <c r="V97" s="1">
        <v>2946</v>
      </c>
      <c r="W97" s="1">
        <v>39595</v>
      </c>
      <c r="X97" s="1">
        <v>1585</v>
      </c>
      <c r="Y97" s="1">
        <v>364043</v>
      </c>
      <c r="Z97" s="1">
        <v>694</v>
      </c>
      <c r="AA97" s="1">
        <v>157996</v>
      </c>
      <c r="AB97" s="1">
        <v>-96</v>
      </c>
      <c r="AC97" s="1">
        <v>449516</v>
      </c>
      <c r="AD97" s="1">
        <v>32</v>
      </c>
      <c r="AE97" s="1">
        <f t="shared" si="5"/>
        <v>9628393</v>
      </c>
      <c r="AF97" s="9">
        <f t="shared" si="6"/>
        <v>7.2309055104003331E-2</v>
      </c>
      <c r="AG97" s="9">
        <f t="shared" si="7"/>
        <v>6.480416825528414E-3</v>
      </c>
      <c r="AH97" s="9">
        <f t="shared" si="8"/>
        <v>1.9389528449866972E-3</v>
      </c>
      <c r="AI97" s="9">
        <f t="shared" si="9"/>
        <v>3.5399053611542448E-2</v>
      </c>
      <c r="AJ97" s="1" t="str">
        <f>IF(VLOOKUP(A97,Hospital!A:C,3,FALSE)="H","Hospital","Freestanding")</f>
        <v>Freestanding</v>
      </c>
      <c r="AK97" s="1">
        <v>2024</v>
      </c>
    </row>
    <row r="98" spans="1:37">
      <c r="A98" s="1">
        <v>27027</v>
      </c>
      <c r="B98" s="1" t="s">
        <v>263</v>
      </c>
      <c r="C98" s="1">
        <v>625315</v>
      </c>
      <c r="D98" s="1">
        <v>21589</v>
      </c>
      <c r="E98" s="1">
        <v>29481</v>
      </c>
      <c r="F98" s="1">
        <v>160491</v>
      </c>
      <c r="G98" s="1">
        <v>388053</v>
      </c>
      <c r="H98" s="1">
        <v>1565405</v>
      </c>
      <c r="I98" s="1">
        <v>1368461</v>
      </c>
      <c r="J98" s="1">
        <v>2339851</v>
      </c>
      <c r="K98" s="1">
        <v>22599</v>
      </c>
      <c r="L98" s="1">
        <v>260489</v>
      </c>
      <c r="M98" s="1">
        <v>0</v>
      </c>
      <c r="N98" s="1">
        <v>292147</v>
      </c>
      <c r="O98" s="1">
        <v>291460</v>
      </c>
      <c r="P98" s="1">
        <v>65668</v>
      </c>
      <c r="Q98" s="1">
        <v>50221</v>
      </c>
      <c r="R98" s="1">
        <v>0</v>
      </c>
      <c r="S98" s="1">
        <v>0</v>
      </c>
      <c r="T98" s="1">
        <v>0</v>
      </c>
      <c r="U98" s="1">
        <v>663471</v>
      </c>
      <c r="V98" s="1">
        <v>0</v>
      </c>
      <c r="W98" s="1">
        <v>118828</v>
      </c>
      <c r="X98" s="1">
        <v>0</v>
      </c>
      <c r="Y98" s="1">
        <v>377759</v>
      </c>
      <c r="Z98" s="1">
        <v>0</v>
      </c>
      <c r="AA98" s="1">
        <v>196289</v>
      </c>
      <c r="AB98" s="1">
        <v>0</v>
      </c>
      <c r="AC98" s="1">
        <v>388981</v>
      </c>
      <c r="AD98" s="1">
        <v>0</v>
      </c>
      <c r="AE98" s="1">
        <f t="shared" si="5"/>
        <v>8389682</v>
      </c>
      <c r="AF98" s="9">
        <f t="shared" si="6"/>
        <v>7.4533814273294266E-2</v>
      </c>
      <c r="AG98" s="9">
        <f t="shared" si="7"/>
        <v>2.5732798930877235E-3</v>
      </c>
      <c r="AH98" s="9">
        <f t="shared" si="8"/>
        <v>3.5139591703237383E-3</v>
      </c>
      <c r="AI98" s="9">
        <f t="shared" si="9"/>
        <v>1.9129568915722907E-2</v>
      </c>
      <c r="AJ98" s="1" t="str">
        <f>IF(VLOOKUP(A98,Hospital!A:C,3,FALSE)="H","Hospital","Freestanding")</f>
        <v>Freestanding</v>
      </c>
      <c r="AK98" s="1">
        <v>2024</v>
      </c>
    </row>
    <row r="99" spans="1:37">
      <c r="A99" s="1">
        <v>27033</v>
      </c>
      <c r="B99" s="1" t="s">
        <v>264</v>
      </c>
      <c r="C99" s="1">
        <v>387718</v>
      </c>
      <c r="D99" s="1">
        <v>44968</v>
      </c>
      <c r="E99" s="1">
        <v>27086</v>
      </c>
      <c r="F99" s="1">
        <v>0</v>
      </c>
      <c r="G99" s="1">
        <v>474012</v>
      </c>
      <c r="H99" s="1">
        <v>716223</v>
      </c>
      <c r="I99" s="1">
        <v>835091</v>
      </c>
      <c r="J99" s="1">
        <v>1763175</v>
      </c>
      <c r="K99" s="1">
        <v>68221</v>
      </c>
      <c r="L99" s="1">
        <v>122526</v>
      </c>
      <c r="M99" s="1">
        <v>0</v>
      </c>
      <c r="N99" s="1">
        <v>162090</v>
      </c>
      <c r="O99" s="1">
        <v>78033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472732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80923</v>
      </c>
      <c r="AB99" s="1">
        <v>0</v>
      </c>
      <c r="AC99" s="1">
        <v>286884</v>
      </c>
      <c r="AD99" s="1">
        <v>0</v>
      </c>
      <c r="AE99" s="1">
        <f t="shared" si="5"/>
        <v>5059910</v>
      </c>
      <c r="AF99" s="9">
        <f t="shared" si="6"/>
        <v>7.6625473575616956E-2</v>
      </c>
      <c r="AG99" s="9">
        <f t="shared" si="7"/>
        <v>8.8871145929473056E-3</v>
      </c>
      <c r="AH99" s="9">
        <f t="shared" si="8"/>
        <v>5.3530596394007011E-3</v>
      </c>
      <c r="AI99" s="9">
        <f t="shared" si="9"/>
        <v>0</v>
      </c>
      <c r="AJ99" s="1" t="str">
        <f>IF(VLOOKUP(A99,Hospital!A:C,3,FALSE)="H","Hospital","Freestanding")</f>
        <v>Freestanding</v>
      </c>
      <c r="AK99" s="1">
        <v>2024</v>
      </c>
    </row>
    <row r="100" spans="1:37">
      <c r="A100" s="1">
        <v>27034</v>
      </c>
      <c r="B100" s="1" t="s">
        <v>265</v>
      </c>
      <c r="C100" s="1">
        <v>363096</v>
      </c>
      <c r="D100" s="1">
        <v>36350</v>
      </c>
      <c r="E100" s="1">
        <v>25938</v>
      </c>
      <c r="F100" s="1">
        <v>0</v>
      </c>
      <c r="G100" s="1">
        <v>176556</v>
      </c>
      <c r="H100" s="1">
        <v>635516</v>
      </c>
      <c r="I100" s="1">
        <v>886680</v>
      </c>
      <c r="J100" s="1">
        <v>1054083</v>
      </c>
      <c r="K100" s="1">
        <v>495724</v>
      </c>
      <c r="L100" s="1">
        <v>100071</v>
      </c>
      <c r="M100" s="1">
        <v>17930</v>
      </c>
      <c r="N100" s="1">
        <v>74379</v>
      </c>
      <c r="O100" s="1">
        <v>84145</v>
      </c>
      <c r="P100" s="1">
        <v>21580</v>
      </c>
      <c r="Q100" s="1">
        <v>0</v>
      </c>
      <c r="R100" s="1">
        <v>0</v>
      </c>
      <c r="S100" s="1">
        <v>0</v>
      </c>
      <c r="T100" s="1">
        <v>0</v>
      </c>
      <c r="U100" s="1">
        <v>560280</v>
      </c>
      <c r="V100" s="1">
        <v>0</v>
      </c>
      <c r="W100" s="1">
        <v>451</v>
      </c>
      <c r="X100" s="1">
        <v>0</v>
      </c>
      <c r="Y100" s="1">
        <v>0</v>
      </c>
      <c r="Z100" s="1">
        <v>0</v>
      </c>
      <c r="AA100" s="1">
        <v>90739</v>
      </c>
      <c r="AB100" s="1">
        <v>0</v>
      </c>
      <c r="AC100" s="1">
        <v>334097</v>
      </c>
      <c r="AD100" s="1">
        <v>0</v>
      </c>
      <c r="AE100" s="1">
        <f t="shared" si="5"/>
        <v>4532231</v>
      </c>
      <c r="AF100" s="9">
        <f t="shared" si="6"/>
        <v>8.0114186589341982E-2</v>
      </c>
      <c r="AG100" s="9">
        <f t="shared" si="7"/>
        <v>8.020332591167573E-3</v>
      </c>
      <c r="AH100" s="9">
        <f t="shared" si="8"/>
        <v>5.7230092640909083E-3</v>
      </c>
      <c r="AI100" s="9">
        <f t="shared" si="9"/>
        <v>0</v>
      </c>
      <c r="AJ100" s="1" t="str">
        <f>IF(VLOOKUP(A100,Hospital!A:C,3,FALSE)="H","Hospital","Freestanding")</f>
        <v>Freestanding</v>
      </c>
      <c r="AK100" s="1">
        <v>2024</v>
      </c>
    </row>
    <row r="101" spans="1:37">
      <c r="A101" s="1">
        <v>27035</v>
      </c>
      <c r="B101" s="1" t="s">
        <v>266</v>
      </c>
      <c r="C101" s="1">
        <v>478053</v>
      </c>
      <c r="D101" s="1">
        <v>0</v>
      </c>
      <c r="E101" s="1">
        <v>14558</v>
      </c>
      <c r="F101" s="1">
        <v>221498</v>
      </c>
      <c r="G101" s="1">
        <v>462032</v>
      </c>
      <c r="H101" s="1">
        <v>1833713</v>
      </c>
      <c r="I101" s="1">
        <v>465180</v>
      </c>
      <c r="J101" s="1">
        <v>1657915</v>
      </c>
      <c r="K101" s="1">
        <v>228898</v>
      </c>
      <c r="L101" s="1">
        <v>203809</v>
      </c>
      <c r="M101" s="1">
        <v>0</v>
      </c>
      <c r="N101" s="1">
        <v>183351</v>
      </c>
      <c r="O101" s="1">
        <v>198885</v>
      </c>
      <c r="P101" s="1">
        <v>222</v>
      </c>
      <c r="Q101" s="1">
        <v>0</v>
      </c>
      <c r="R101" s="1">
        <v>6401</v>
      </c>
      <c r="S101" s="1">
        <v>0</v>
      </c>
      <c r="T101" s="1">
        <v>0</v>
      </c>
      <c r="U101" s="1">
        <v>359939</v>
      </c>
      <c r="V101" s="1">
        <v>2782</v>
      </c>
      <c r="W101" s="1">
        <v>17804</v>
      </c>
      <c r="X101" s="1">
        <v>0</v>
      </c>
      <c r="Y101" s="1">
        <v>190091</v>
      </c>
      <c r="Z101" s="1">
        <v>1892</v>
      </c>
      <c r="AA101" s="1">
        <v>137636</v>
      </c>
      <c r="AB101" s="1">
        <v>-6644</v>
      </c>
      <c r="AC101" s="1">
        <v>278366</v>
      </c>
      <c r="AD101" s="1">
        <v>-8167</v>
      </c>
      <c r="AE101" s="1">
        <f t="shared" si="5"/>
        <v>6214105</v>
      </c>
      <c r="AF101" s="9">
        <f t="shared" si="6"/>
        <v>7.6930306134189885E-2</v>
      </c>
      <c r="AG101" s="9">
        <f t="shared" si="7"/>
        <v>0</v>
      </c>
      <c r="AH101" s="9">
        <f t="shared" si="8"/>
        <v>2.3427347944716096E-3</v>
      </c>
      <c r="AI101" s="9">
        <f t="shared" si="9"/>
        <v>3.5644392877172172E-2</v>
      </c>
      <c r="AJ101" s="1" t="str">
        <f>IF(VLOOKUP(A101,Hospital!A:C,3,FALSE)="H","Hospital","Freestanding")</f>
        <v>Freestanding</v>
      </c>
      <c r="AK101" s="1">
        <v>2024</v>
      </c>
    </row>
    <row r="102" spans="1:37">
      <c r="A102" s="1">
        <v>27037</v>
      </c>
      <c r="B102" s="1" t="s">
        <v>267</v>
      </c>
      <c r="C102" s="1">
        <v>282304</v>
      </c>
      <c r="D102" s="1">
        <v>21840</v>
      </c>
      <c r="E102" s="1">
        <v>63312</v>
      </c>
      <c r="F102" s="1">
        <v>0</v>
      </c>
      <c r="G102" s="1">
        <v>353948</v>
      </c>
      <c r="H102" s="1">
        <v>507589</v>
      </c>
      <c r="I102" s="1">
        <v>498192</v>
      </c>
      <c r="J102" s="1">
        <v>813301</v>
      </c>
      <c r="K102" s="1">
        <v>165572</v>
      </c>
      <c r="L102" s="1">
        <v>112278</v>
      </c>
      <c r="M102" s="1">
        <v>0</v>
      </c>
      <c r="N102" s="1">
        <v>181083</v>
      </c>
      <c r="O102" s="1">
        <v>176489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398973</v>
      </c>
      <c r="V102" s="1">
        <v>0</v>
      </c>
      <c r="W102" s="1">
        <v>7716</v>
      </c>
      <c r="X102" s="1">
        <v>0</v>
      </c>
      <c r="Y102" s="1">
        <v>58153</v>
      </c>
      <c r="Z102" s="1">
        <v>0</v>
      </c>
      <c r="AA102" s="1">
        <v>42984</v>
      </c>
      <c r="AB102" s="1">
        <v>0</v>
      </c>
      <c r="AC102" s="1">
        <v>276310</v>
      </c>
      <c r="AD102" s="1">
        <v>0</v>
      </c>
      <c r="AE102" s="1">
        <f t="shared" si="5"/>
        <v>3592588</v>
      </c>
      <c r="AF102" s="9">
        <f t="shared" si="6"/>
        <v>7.8579564369752386E-2</v>
      </c>
      <c r="AG102" s="9">
        <f t="shared" si="7"/>
        <v>6.0791830290587174E-3</v>
      </c>
      <c r="AH102" s="9">
        <f t="shared" si="8"/>
        <v>1.7622950363359226E-2</v>
      </c>
      <c r="AI102" s="9">
        <f t="shared" si="9"/>
        <v>0</v>
      </c>
      <c r="AJ102" s="1" t="str">
        <f>IF(VLOOKUP(A102,Hospital!A:C,3,FALSE)="H","Hospital","Freestanding")</f>
        <v>Freestanding</v>
      </c>
      <c r="AK102" s="1">
        <v>2024</v>
      </c>
    </row>
    <row r="103" spans="1:37">
      <c r="A103" s="1">
        <v>27038</v>
      </c>
      <c r="B103" s="1" t="s">
        <v>268</v>
      </c>
      <c r="C103" s="1">
        <v>188461</v>
      </c>
      <c r="D103" s="1">
        <v>27238</v>
      </c>
      <c r="E103" s="1">
        <v>14564</v>
      </c>
      <c r="F103" s="1">
        <v>0</v>
      </c>
      <c r="G103" s="1">
        <v>165612</v>
      </c>
      <c r="H103" s="1">
        <v>356663</v>
      </c>
      <c r="I103" s="1">
        <v>151746</v>
      </c>
      <c r="J103" s="1">
        <v>928163</v>
      </c>
      <c r="K103" s="1">
        <v>54772</v>
      </c>
      <c r="L103" s="1">
        <v>40146</v>
      </c>
      <c r="M103" s="1">
        <v>0</v>
      </c>
      <c r="N103" s="1">
        <v>62525</v>
      </c>
      <c r="O103" s="1">
        <v>46898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291837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75128</v>
      </c>
      <c r="AB103" s="1">
        <v>0</v>
      </c>
      <c r="AC103" s="1">
        <v>265097</v>
      </c>
      <c r="AD103" s="1">
        <v>0</v>
      </c>
      <c r="AE103" s="1">
        <f t="shared" si="5"/>
        <v>2438587</v>
      </c>
      <c r="AF103" s="9">
        <f t="shared" si="6"/>
        <v>7.7282869136922325E-2</v>
      </c>
      <c r="AG103" s="9">
        <f t="shared" si="7"/>
        <v>1.1169583041326802E-2</v>
      </c>
      <c r="AH103" s="9">
        <f t="shared" si="8"/>
        <v>5.9723110145342368E-3</v>
      </c>
      <c r="AI103" s="9">
        <f t="shared" si="9"/>
        <v>0</v>
      </c>
      <c r="AJ103" s="1" t="str">
        <f>IF(VLOOKUP(A103,Hospital!A:C,3,FALSE)="H","Hospital","Freestanding")</f>
        <v>Freestanding</v>
      </c>
      <c r="AK103" s="1">
        <v>2024</v>
      </c>
    </row>
    <row r="104" spans="1:37">
      <c r="A104" s="1">
        <v>27039</v>
      </c>
      <c r="B104" s="1" t="s">
        <v>269</v>
      </c>
      <c r="C104" s="1">
        <v>533780</v>
      </c>
      <c r="D104" s="1">
        <v>0</v>
      </c>
      <c r="E104" s="1">
        <v>1807</v>
      </c>
      <c r="F104" s="1">
        <v>281179</v>
      </c>
      <c r="G104" s="1">
        <v>732277</v>
      </c>
      <c r="H104" s="1">
        <v>1203276</v>
      </c>
      <c r="I104" s="1">
        <v>856118</v>
      </c>
      <c r="J104" s="1">
        <v>550680</v>
      </c>
      <c r="K104" s="1">
        <v>1894131</v>
      </c>
      <c r="L104" s="1">
        <v>102291</v>
      </c>
      <c r="M104" s="1">
        <v>0</v>
      </c>
      <c r="N104" s="1">
        <v>162034</v>
      </c>
      <c r="O104" s="1">
        <v>109598</v>
      </c>
      <c r="P104" s="1">
        <v>13409</v>
      </c>
      <c r="Q104" s="1">
        <v>0</v>
      </c>
      <c r="R104" s="1">
        <v>48243</v>
      </c>
      <c r="S104" s="1">
        <v>0</v>
      </c>
      <c r="T104" s="1">
        <v>0</v>
      </c>
      <c r="U104" s="1">
        <v>590840</v>
      </c>
      <c r="V104" s="1">
        <v>-1437</v>
      </c>
      <c r="W104" s="1">
        <v>0</v>
      </c>
      <c r="X104" s="1">
        <v>0</v>
      </c>
      <c r="Y104" s="1">
        <v>351534</v>
      </c>
      <c r="Z104" s="1">
        <v>10625</v>
      </c>
      <c r="AA104" s="1">
        <v>134284</v>
      </c>
      <c r="AB104" s="1">
        <v>-263</v>
      </c>
      <c r="AC104" s="1">
        <v>318677</v>
      </c>
      <c r="AD104" s="1">
        <v>5787</v>
      </c>
      <c r="AE104" s="1">
        <f t="shared" si="5"/>
        <v>7082104</v>
      </c>
      <c r="AF104" s="9">
        <f t="shared" si="6"/>
        <v>7.5370257200402593E-2</v>
      </c>
      <c r="AG104" s="9">
        <f t="shared" si="7"/>
        <v>0</v>
      </c>
      <c r="AH104" s="9">
        <f t="shared" si="8"/>
        <v>2.5515016441441697E-4</v>
      </c>
      <c r="AI104" s="9">
        <f t="shared" si="9"/>
        <v>3.970274935245232E-2</v>
      </c>
      <c r="AJ104" s="1" t="str">
        <f>IF(VLOOKUP(A104,Hospital!A:C,3,FALSE)="H","Hospital","Freestanding")</f>
        <v>Freestanding</v>
      </c>
      <c r="AK104" s="1">
        <v>2024</v>
      </c>
    </row>
    <row r="105" spans="1:37">
      <c r="A105" s="1">
        <v>27040</v>
      </c>
      <c r="B105" s="1" t="s">
        <v>270</v>
      </c>
      <c r="C105" s="1">
        <v>340864</v>
      </c>
      <c r="D105" s="1">
        <v>20348</v>
      </c>
      <c r="E105" s="1">
        <v>21399</v>
      </c>
      <c r="F105" s="1">
        <v>61614</v>
      </c>
      <c r="G105" s="1">
        <v>223885</v>
      </c>
      <c r="H105" s="1">
        <v>684781</v>
      </c>
      <c r="I105" s="1">
        <v>730018</v>
      </c>
      <c r="J105" s="1">
        <v>987774</v>
      </c>
      <c r="K105" s="1">
        <v>311643</v>
      </c>
      <c r="L105" s="1">
        <v>133550</v>
      </c>
      <c r="M105" s="1">
        <v>0</v>
      </c>
      <c r="N105" s="1">
        <v>123615</v>
      </c>
      <c r="O105" s="1">
        <v>179989</v>
      </c>
      <c r="P105" s="1">
        <v>201502</v>
      </c>
      <c r="Q105" s="1">
        <v>0</v>
      </c>
      <c r="R105" s="1">
        <v>0</v>
      </c>
      <c r="S105" s="1">
        <v>0</v>
      </c>
      <c r="T105" s="1">
        <v>0</v>
      </c>
      <c r="U105" s="1">
        <v>515529</v>
      </c>
      <c r="V105" s="1">
        <v>0</v>
      </c>
      <c r="W105" s="1">
        <v>50368</v>
      </c>
      <c r="X105" s="1">
        <v>0</v>
      </c>
      <c r="Y105" s="1">
        <v>140598</v>
      </c>
      <c r="Z105" s="1">
        <v>0</v>
      </c>
      <c r="AA105" s="1">
        <v>83493</v>
      </c>
      <c r="AB105" s="1">
        <v>0</v>
      </c>
      <c r="AC105" s="1">
        <v>347531</v>
      </c>
      <c r="AD105" s="1">
        <v>0</v>
      </c>
      <c r="AE105" s="1">
        <f t="shared" si="5"/>
        <v>4714276</v>
      </c>
      <c r="AF105" s="9">
        <f t="shared" si="6"/>
        <v>7.2304633839851543E-2</v>
      </c>
      <c r="AG105" s="9">
        <f t="shared" si="7"/>
        <v>4.3162513183360495E-3</v>
      </c>
      <c r="AH105" s="9">
        <f t="shared" si="8"/>
        <v>4.5391911716666572E-3</v>
      </c>
      <c r="AI105" s="9">
        <f t="shared" si="9"/>
        <v>1.306966329506376E-2</v>
      </c>
      <c r="AJ105" s="1" t="str">
        <f>IF(VLOOKUP(A105,Hospital!A:C,3,FALSE)="H","Hospital","Freestanding")</f>
        <v>Freestanding</v>
      </c>
      <c r="AK105" s="1">
        <v>2024</v>
      </c>
    </row>
    <row r="106" spans="1:37">
      <c r="A106" s="1">
        <v>27041</v>
      </c>
      <c r="B106" s="1" t="s">
        <v>271</v>
      </c>
      <c r="C106" s="1">
        <v>596901</v>
      </c>
      <c r="D106" s="1">
        <v>33035</v>
      </c>
      <c r="E106" s="1">
        <v>39985</v>
      </c>
      <c r="F106" s="1">
        <v>164661</v>
      </c>
      <c r="G106" s="1">
        <v>411270</v>
      </c>
      <c r="H106" s="1">
        <v>3315008</v>
      </c>
      <c r="I106" s="1">
        <v>695175</v>
      </c>
      <c r="J106" s="1">
        <v>1873631</v>
      </c>
      <c r="K106" s="1">
        <v>0</v>
      </c>
      <c r="L106" s="1">
        <v>281258</v>
      </c>
      <c r="M106" s="1">
        <v>0</v>
      </c>
      <c r="N106" s="1">
        <v>76548</v>
      </c>
      <c r="O106" s="1">
        <v>99675</v>
      </c>
      <c r="P106" s="1">
        <v>46070</v>
      </c>
      <c r="Q106" s="1">
        <v>74854</v>
      </c>
      <c r="R106" s="1">
        <v>13938</v>
      </c>
      <c r="S106" s="1">
        <v>89124</v>
      </c>
      <c r="T106" s="1">
        <v>876</v>
      </c>
      <c r="U106" s="1">
        <v>0</v>
      </c>
      <c r="V106" s="1">
        <v>0</v>
      </c>
      <c r="W106" s="1">
        <v>85154</v>
      </c>
      <c r="X106" s="1">
        <v>-1266</v>
      </c>
      <c r="Y106" s="1">
        <v>214708</v>
      </c>
      <c r="Z106" s="1">
        <v>-3231</v>
      </c>
      <c r="AA106" s="1">
        <v>191893</v>
      </c>
      <c r="AB106" s="1">
        <v>10143</v>
      </c>
      <c r="AC106" s="1">
        <v>461280</v>
      </c>
      <c r="AD106" s="1">
        <v>1194</v>
      </c>
      <c r="AE106" s="1">
        <f t="shared" si="5"/>
        <v>7937302</v>
      </c>
      <c r="AF106" s="9">
        <f t="shared" si="6"/>
        <v>7.5202001889306966E-2</v>
      </c>
      <c r="AG106" s="9">
        <f t="shared" si="7"/>
        <v>4.161993584217912E-3</v>
      </c>
      <c r="AH106" s="9">
        <f t="shared" si="8"/>
        <v>5.0376059774467448E-3</v>
      </c>
      <c r="AI106" s="9">
        <f t="shared" si="9"/>
        <v>2.074521040020904E-2</v>
      </c>
      <c r="AJ106" s="1" t="str">
        <f>IF(VLOOKUP(A106,Hospital!A:C,3,FALSE)="H","Hospital","Freestanding")</f>
        <v>Freestanding</v>
      </c>
      <c r="AK106" s="1">
        <v>2024</v>
      </c>
    </row>
    <row r="107" spans="1:37">
      <c r="A107" s="1">
        <v>27042</v>
      </c>
      <c r="B107" s="1" t="s">
        <v>272</v>
      </c>
      <c r="C107" s="1">
        <v>348575</v>
      </c>
      <c r="D107" s="1">
        <v>0</v>
      </c>
      <c r="E107" s="1">
        <v>93383</v>
      </c>
      <c r="F107" s="1">
        <v>4921</v>
      </c>
      <c r="G107" s="1">
        <v>180386</v>
      </c>
      <c r="H107" s="1">
        <v>1177942</v>
      </c>
      <c r="I107" s="1">
        <v>411366</v>
      </c>
      <c r="J107" s="1">
        <v>1409209</v>
      </c>
      <c r="K107" s="1">
        <v>237975</v>
      </c>
      <c r="L107" s="1">
        <v>216988</v>
      </c>
      <c r="M107" s="1">
        <v>0</v>
      </c>
      <c r="N107" s="1">
        <v>72649</v>
      </c>
      <c r="O107" s="1">
        <v>102642</v>
      </c>
      <c r="P107" s="1">
        <v>0</v>
      </c>
      <c r="Q107" s="1">
        <v>164600</v>
      </c>
      <c r="R107" s="1">
        <v>-1216</v>
      </c>
      <c r="S107" s="1">
        <v>0</v>
      </c>
      <c r="T107" s="1">
        <v>0</v>
      </c>
      <c r="U107" s="1">
        <v>0</v>
      </c>
      <c r="V107" s="1">
        <v>0</v>
      </c>
      <c r="W107" s="1">
        <v>-597</v>
      </c>
      <c r="X107" s="1">
        <v>0</v>
      </c>
      <c r="Y107" s="1">
        <v>169163</v>
      </c>
      <c r="Z107" s="1">
        <v>0</v>
      </c>
      <c r="AA107" s="1">
        <v>90061</v>
      </c>
      <c r="AB107" s="1">
        <v>-219</v>
      </c>
      <c r="AC107" s="1">
        <v>415690</v>
      </c>
      <c r="AD107" s="1">
        <v>0</v>
      </c>
      <c r="AE107" s="1">
        <f t="shared" si="5"/>
        <v>4646639</v>
      </c>
      <c r="AF107" s="9">
        <f t="shared" si="6"/>
        <v>7.5016587258015952E-2</v>
      </c>
      <c r="AG107" s="9">
        <f t="shared" si="7"/>
        <v>0</v>
      </c>
      <c r="AH107" s="9">
        <f t="shared" si="8"/>
        <v>2.0096891538163391E-2</v>
      </c>
      <c r="AI107" s="9">
        <f t="shared" si="9"/>
        <v>1.0590450430945895E-3</v>
      </c>
      <c r="AJ107" s="1" t="str">
        <f>IF(VLOOKUP(A107,Hospital!A:C,3,FALSE)="H","Hospital","Freestanding")</f>
        <v>Freestanding</v>
      </c>
      <c r="AK107" s="1">
        <v>2024</v>
      </c>
    </row>
    <row r="108" spans="1:37">
      <c r="A108" s="1">
        <v>27044</v>
      </c>
      <c r="B108" s="1" t="s">
        <v>273</v>
      </c>
      <c r="C108" s="1">
        <v>751884</v>
      </c>
      <c r="D108" s="1">
        <v>13047</v>
      </c>
      <c r="E108" s="1">
        <v>162632</v>
      </c>
      <c r="F108" s="1">
        <v>215108</v>
      </c>
      <c r="G108" s="1">
        <v>278617</v>
      </c>
      <c r="H108" s="1">
        <v>1949493</v>
      </c>
      <c r="I108" s="1">
        <v>2542715</v>
      </c>
      <c r="J108" s="1">
        <v>3760082</v>
      </c>
      <c r="K108" s="1">
        <v>394094</v>
      </c>
      <c r="L108" s="1">
        <v>143705</v>
      </c>
      <c r="M108" s="1">
        <v>0</v>
      </c>
      <c r="N108" s="1">
        <v>241356</v>
      </c>
      <c r="O108" s="1">
        <v>205357</v>
      </c>
      <c r="P108" s="1">
        <v>22380</v>
      </c>
      <c r="Q108" s="1">
        <v>164408</v>
      </c>
      <c r="R108" s="1">
        <v>14097</v>
      </c>
      <c r="S108" s="1">
        <v>0</v>
      </c>
      <c r="T108" s="1">
        <v>0</v>
      </c>
      <c r="U108" s="1">
        <v>78088</v>
      </c>
      <c r="V108" s="1">
        <v>2864</v>
      </c>
      <c r="W108" s="1">
        <v>0</v>
      </c>
      <c r="X108" s="1">
        <v>0</v>
      </c>
      <c r="Y108" s="1">
        <v>0</v>
      </c>
      <c r="Z108" s="1">
        <v>0</v>
      </c>
      <c r="AA108" s="1">
        <v>131204</v>
      </c>
      <c r="AB108" s="1">
        <v>34</v>
      </c>
      <c r="AC108" s="1">
        <v>289608</v>
      </c>
      <c r="AD108" s="1">
        <v>12136</v>
      </c>
      <c r="AE108" s="1">
        <f t="shared" si="5"/>
        <v>10230238</v>
      </c>
      <c r="AF108" s="9">
        <f t="shared" si="6"/>
        <v>7.3496237330939906E-2</v>
      </c>
      <c r="AG108" s="9">
        <f t="shared" si="7"/>
        <v>1.2753368983204497E-3</v>
      </c>
      <c r="AH108" s="9">
        <f t="shared" si="8"/>
        <v>1.5897186360669224E-2</v>
      </c>
      <c r="AI108" s="9">
        <f t="shared" si="9"/>
        <v>2.1026685791669754E-2</v>
      </c>
      <c r="AJ108" s="1" t="str">
        <f>IF(VLOOKUP(A108,Hospital!A:C,3,FALSE)="H","Hospital","Freestanding")</f>
        <v>Freestanding</v>
      </c>
      <c r="AK108" s="1">
        <v>2024</v>
      </c>
    </row>
    <row r="109" spans="1:37">
      <c r="A109" s="1">
        <v>27046</v>
      </c>
      <c r="B109" s="1" t="s">
        <v>274</v>
      </c>
      <c r="C109" s="1">
        <v>275872</v>
      </c>
      <c r="D109" s="1">
        <v>32191</v>
      </c>
      <c r="E109" s="1">
        <v>79297</v>
      </c>
      <c r="F109" s="1">
        <v>0</v>
      </c>
      <c r="G109" s="1">
        <v>269149</v>
      </c>
      <c r="H109" s="1">
        <v>182567</v>
      </c>
      <c r="I109" s="1">
        <v>560486</v>
      </c>
      <c r="J109" s="1">
        <v>268134</v>
      </c>
      <c r="K109" s="1">
        <v>800477</v>
      </c>
      <c r="L109" s="1">
        <v>112235</v>
      </c>
      <c r="M109" s="1">
        <v>0</v>
      </c>
      <c r="N109" s="1">
        <v>180879</v>
      </c>
      <c r="O109" s="1">
        <v>82745</v>
      </c>
      <c r="P109" s="1">
        <v>0</v>
      </c>
      <c r="Q109" s="1">
        <v>144634</v>
      </c>
      <c r="R109" s="1">
        <v>0</v>
      </c>
      <c r="S109" s="1">
        <v>0</v>
      </c>
      <c r="T109" s="1">
        <v>0</v>
      </c>
      <c r="U109" s="1">
        <v>392025</v>
      </c>
      <c r="V109" s="1">
        <v>0</v>
      </c>
      <c r="W109" s="1">
        <v>35957</v>
      </c>
      <c r="X109" s="1">
        <v>0</v>
      </c>
      <c r="Y109" s="1">
        <v>279240</v>
      </c>
      <c r="Z109" s="1">
        <v>0</v>
      </c>
      <c r="AA109" s="1">
        <v>111787</v>
      </c>
      <c r="AB109" s="1">
        <v>0</v>
      </c>
      <c r="AC109" s="1">
        <v>611763</v>
      </c>
      <c r="AD109" s="1">
        <v>0</v>
      </c>
      <c r="AE109" s="1">
        <f t="shared" si="5"/>
        <v>4032078</v>
      </c>
      <c r="AF109" s="9">
        <f t="shared" si="6"/>
        <v>6.841931133276688E-2</v>
      </c>
      <c r="AG109" s="9">
        <f t="shared" si="7"/>
        <v>7.9837245212022196E-3</v>
      </c>
      <c r="AH109" s="9">
        <f t="shared" si="8"/>
        <v>1.966653422875252E-2</v>
      </c>
      <c r="AI109" s="9">
        <f t="shared" si="9"/>
        <v>0</v>
      </c>
      <c r="AJ109" s="1" t="str">
        <f>IF(VLOOKUP(A109,Hospital!A:C,3,FALSE)="H","Hospital","Freestanding")</f>
        <v>Freestanding</v>
      </c>
      <c r="AK109" s="1">
        <v>2024</v>
      </c>
    </row>
    <row r="110" spans="1:37">
      <c r="A110" s="1">
        <v>27049</v>
      </c>
      <c r="B110" s="1" t="s">
        <v>275</v>
      </c>
      <c r="C110" s="1">
        <v>253876</v>
      </c>
      <c r="D110" s="1">
        <v>10628</v>
      </c>
      <c r="E110" s="1">
        <v>132960</v>
      </c>
      <c r="F110" s="1">
        <v>160748</v>
      </c>
      <c r="G110" s="1">
        <v>267658</v>
      </c>
      <c r="H110" s="1">
        <v>807437</v>
      </c>
      <c r="I110" s="1">
        <v>519080</v>
      </c>
      <c r="J110" s="1">
        <v>1368359</v>
      </c>
      <c r="K110" s="1">
        <v>45643</v>
      </c>
      <c r="L110" s="1">
        <v>151442</v>
      </c>
      <c r="M110" s="1">
        <v>0</v>
      </c>
      <c r="N110" s="1">
        <v>129500</v>
      </c>
      <c r="O110" s="1">
        <v>113416</v>
      </c>
      <c r="P110" s="1">
        <v>31044</v>
      </c>
      <c r="Q110" s="1">
        <v>0</v>
      </c>
      <c r="R110" s="1">
        <v>8866</v>
      </c>
      <c r="S110" s="1">
        <v>0</v>
      </c>
      <c r="T110" s="1">
        <v>0</v>
      </c>
      <c r="U110" s="1">
        <v>566816</v>
      </c>
      <c r="V110" s="1">
        <v>1853</v>
      </c>
      <c r="W110" s="1">
        <v>84968</v>
      </c>
      <c r="X110" s="1">
        <v>603</v>
      </c>
      <c r="Y110" s="1">
        <v>270552</v>
      </c>
      <c r="Z110" s="1">
        <v>4395</v>
      </c>
      <c r="AA110" s="1">
        <v>67750</v>
      </c>
      <c r="AB110" s="1">
        <v>-1059</v>
      </c>
      <c r="AC110" s="1">
        <v>264862</v>
      </c>
      <c r="AD110" s="1">
        <v>1574</v>
      </c>
      <c r="AE110" s="1">
        <f t="shared" si="5"/>
        <v>4704759</v>
      </c>
      <c r="AF110" s="9">
        <f t="shared" si="6"/>
        <v>5.3961531292038553E-2</v>
      </c>
      <c r="AG110" s="9">
        <f t="shared" si="7"/>
        <v>2.2589892489710949E-3</v>
      </c>
      <c r="AH110" s="9">
        <f t="shared" si="8"/>
        <v>2.8260746193375687E-2</v>
      </c>
      <c r="AI110" s="9">
        <f t="shared" si="9"/>
        <v>3.4167106115318556E-2</v>
      </c>
      <c r="AJ110" s="1" t="str">
        <f>IF(VLOOKUP(A110,Hospital!A:C,3,FALSE)="H","Hospital","Freestanding")</f>
        <v>Freestanding</v>
      </c>
      <c r="AK110" s="1">
        <v>2024</v>
      </c>
    </row>
    <row r="111" spans="1:37">
      <c r="A111" s="1">
        <v>27050</v>
      </c>
      <c r="B111" s="1" t="s">
        <v>276</v>
      </c>
      <c r="C111" s="1">
        <v>745292</v>
      </c>
      <c r="D111" s="1">
        <v>34358</v>
      </c>
      <c r="E111" s="1">
        <v>70241</v>
      </c>
      <c r="F111" s="1">
        <v>24857</v>
      </c>
      <c r="G111" s="1">
        <v>828519</v>
      </c>
      <c r="H111" s="1">
        <v>1377603</v>
      </c>
      <c r="I111" s="1">
        <v>386171</v>
      </c>
      <c r="J111" s="1">
        <v>0</v>
      </c>
      <c r="K111" s="1">
        <v>0</v>
      </c>
      <c r="L111" s="1">
        <v>27703</v>
      </c>
      <c r="M111" s="1">
        <v>2690047</v>
      </c>
      <c r="N111" s="1">
        <v>1696322</v>
      </c>
      <c r="O111" s="1">
        <v>370673</v>
      </c>
      <c r="P111" s="1">
        <v>136942</v>
      </c>
      <c r="Q111" s="1">
        <v>0</v>
      </c>
      <c r="R111" s="1">
        <v>0</v>
      </c>
      <c r="S111" s="1">
        <v>0</v>
      </c>
      <c r="T111" s="1">
        <v>0</v>
      </c>
      <c r="U111" s="1">
        <v>684608</v>
      </c>
      <c r="V111" s="1">
        <v>0</v>
      </c>
      <c r="W111" s="1">
        <v>34924</v>
      </c>
      <c r="X111" s="1">
        <v>0</v>
      </c>
      <c r="Y111" s="1">
        <v>427529</v>
      </c>
      <c r="Z111" s="1">
        <v>0</v>
      </c>
      <c r="AA111" s="1">
        <v>439056</v>
      </c>
      <c r="AB111" s="1">
        <v>0</v>
      </c>
      <c r="AC111" s="1">
        <v>1059752</v>
      </c>
      <c r="AD111" s="1">
        <v>0</v>
      </c>
      <c r="AE111" s="1">
        <f t="shared" si="5"/>
        <v>10159849</v>
      </c>
      <c r="AF111" s="9">
        <f t="shared" si="6"/>
        <v>7.3356602051861203E-2</v>
      </c>
      <c r="AG111" s="9">
        <f t="shared" si="7"/>
        <v>3.3817431735451973E-3</v>
      </c>
      <c r="AH111" s="9">
        <f t="shared" si="8"/>
        <v>6.9135870031139246E-3</v>
      </c>
      <c r="AI111" s="9">
        <f t="shared" si="9"/>
        <v>2.4465914798536869E-3</v>
      </c>
      <c r="AJ111" s="1" t="str">
        <f>IF(VLOOKUP(A111,Hospital!A:C,3,FALSE)="H","Hospital","Freestanding")</f>
        <v>Freestanding</v>
      </c>
      <c r="AK111" s="1">
        <v>2024</v>
      </c>
    </row>
    <row r="112" spans="1:37">
      <c r="A112" s="1">
        <v>27052</v>
      </c>
      <c r="B112" s="1" t="s">
        <v>277</v>
      </c>
      <c r="C112" s="1">
        <v>972925</v>
      </c>
      <c r="D112" s="1">
        <v>119802</v>
      </c>
      <c r="E112" s="1">
        <v>166680</v>
      </c>
      <c r="F112" s="1">
        <v>0</v>
      </c>
      <c r="G112" s="1">
        <v>1156541</v>
      </c>
      <c r="H112" s="1">
        <v>1893524</v>
      </c>
      <c r="I112" s="1">
        <v>1667727</v>
      </c>
      <c r="J112" s="1">
        <v>4144350</v>
      </c>
      <c r="K112" s="1">
        <v>23387</v>
      </c>
      <c r="L112" s="1">
        <v>289784</v>
      </c>
      <c r="M112" s="1">
        <v>0</v>
      </c>
      <c r="N112" s="1">
        <v>468781</v>
      </c>
      <c r="O112" s="1">
        <v>314851</v>
      </c>
      <c r="P112" s="1">
        <v>0</v>
      </c>
      <c r="Q112" s="1">
        <v>76483</v>
      </c>
      <c r="R112" s="1">
        <v>0</v>
      </c>
      <c r="S112" s="1">
        <v>0</v>
      </c>
      <c r="T112" s="1">
        <v>0</v>
      </c>
      <c r="U112" s="1">
        <v>289799</v>
      </c>
      <c r="V112" s="1">
        <v>0</v>
      </c>
      <c r="W112" s="1">
        <v>0</v>
      </c>
      <c r="X112" s="1">
        <v>0</v>
      </c>
      <c r="Y112" s="1">
        <v>81383</v>
      </c>
      <c r="Z112" s="1">
        <v>0</v>
      </c>
      <c r="AA112" s="1">
        <v>413820</v>
      </c>
      <c r="AB112" s="1">
        <v>0</v>
      </c>
      <c r="AC112" s="1">
        <v>660711</v>
      </c>
      <c r="AD112" s="1">
        <v>0</v>
      </c>
      <c r="AE112" s="1">
        <f t="shared" si="5"/>
        <v>11481141</v>
      </c>
      <c r="AF112" s="9">
        <f t="shared" si="6"/>
        <v>8.4741142017156657E-2</v>
      </c>
      <c r="AG112" s="9">
        <f t="shared" si="7"/>
        <v>1.0434677180604262E-2</v>
      </c>
      <c r="AH112" s="9">
        <f t="shared" si="8"/>
        <v>1.4517720843250684E-2</v>
      </c>
      <c r="AI112" s="9">
        <f t="shared" si="9"/>
        <v>0</v>
      </c>
      <c r="AJ112" s="1" t="str">
        <f>IF(VLOOKUP(A112,Hospital!A:C,3,FALSE)="H","Hospital","Freestanding")</f>
        <v>Freestanding</v>
      </c>
      <c r="AK112" s="1">
        <v>2024</v>
      </c>
    </row>
    <row r="113" spans="1:37">
      <c r="A113" s="1">
        <v>27054</v>
      </c>
      <c r="B113" s="1" t="s">
        <v>278</v>
      </c>
      <c r="C113" s="1">
        <v>326824</v>
      </c>
      <c r="D113" s="1">
        <v>6525</v>
      </c>
      <c r="E113" s="1">
        <v>28658</v>
      </c>
      <c r="F113" s="1">
        <v>117923</v>
      </c>
      <c r="G113" s="1">
        <v>297135</v>
      </c>
      <c r="H113" s="1">
        <v>1321522</v>
      </c>
      <c r="I113" s="1">
        <v>301988</v>
      </c>
      <c r="J113" s="1">
        <v>1362609</v>
      </c>
      <c r="K113" s="1">
        <v>570553</v>
      </c>
      <c r="L113" s="1">
        <v>166066</v>
      </c>
      <c r="M113" s="1">
        <v>0</v>
      </c>
      <c r="N113" s="1">
        <v>180128</v>
      </c>
      <c r="O113" s="1">
        <v>90730</v>
      </c>
      <c r="P113" s="1">
        <v>34004</v>
      </c>
      <c r="Q113" s="1">
        <v>0</v>
      </c>
      <c r="R113" s="1">
        <v>16891</v>
      </c>
      <c r="S113" s="1">
        <v>0</v>
      </c>
      <c r="T113" s="1">
        <v>0</v>
      </c>
      <c r="U113" s="1">
        <v>631430</v>
      </c>
      <c r="V113" s="1">
        <v>5356</v>
      </c>
      <c r="W113" s="1">
        <v>67179</v>
      </c>
      <c r="X113" s="1">
        <v>0</v>
      </c>
      <c r="Y113" s="1">
        <v>104023</v>
      </c>
      <c r="Z113" s="1">
        <v>-1083</v>
      </c>
      <c r="AA113" s="1">
        <v>16185</v>
      </c>
      <c r="AB113" s="1">
        <v>360</v>
      </c>
      <c r="AC113" s="1">
        <v>230303</v>
      </c>
      <c r="AD113" s="1">
        <v>3654</v>
      </c>
      <c r="AE113" s="1">
        <f t="shared" si="5"/>
        <v>5399033</v>
      </c>
      <c r="AF113" s="9">
        <f t="shared" si="6"/>
        <v>6.0533802997684953E-2</v>
      </c>
      <c r="AG113" s="9">
        <f t="shared" si="7"/>
        <v>1.208549753261371E-3</v>
      </c>
      <c r="AH113" s="9">
        <f t="shared" si="8"/>
        <v>5.3079875599945396E-3</v>
      </c>
      <c r="AI113" s="9">
        <f t="shared" si="9"/>
        <v>2.1841503839669065E-2</v>
      </c>
      <c r="AJ113" s="1" t="str">
        <f>IF(VLOOKUP(A113,Hospital!A:C,3,FALSE)="H","Hospital","Freestanding")</f>
        <v>Freestanding</v>
      </c>
      <c r="AK113" s="1">
        <v>2024</v>
      </c>
    </row>
    <row r="114" spans="1:37">
      <c r="A114" s="1">
        <v>27055</v>
      </c>
      <c r="B114" s="1" t="s">
        <v>279</v>
      </c>
      <c r="C114" s="1">
        <v>410236</v>
      </c>
      <c r="D114" s="1">
        <v>43190</v>
      </c>
      <c r="E114" s="1">
        <v>22858</v>
      </c>
      <c r="F114" s="1">
        <v>0</v>
      </c>
      <c r="G114" s="1">
        <v>475304</v>
      </c>
      <c r="H114" s="1">
        <v>420397</v>
      </c>
      <c r="I114" s="1">
        <v>1015140</v>
      </c>
      <c r="J114" s="1">
        <v>2098481</v>
      </c>
      <c r="K114" s="1">
        <v>84690</v>
      </c>
      <c r="L114" s="1">
        <v>134743</v>
      </c>
      <c r="M114" s="1">
        <v>0</v>
      </c>
      <c r="N114" s="1">
        <v>162896</v>
      </c>
      <c r="O114" s="1">
        <v>141788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470581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91257</v>
      </c>
      <c r="AB114" s="1">
        <v>0</v>
      </c>
      <c r="AC114" s="1">
        <v>275071</v>
      </c>
      <c r="AD114" s="1">
        <v>0</v>
      </c>
      <c r="AE114" s="1">
        <f t="shared" si="5"/>
        <v>5370348</v>
      </c>
      <c r="AF114" s="9">
        <f t="shared" si="6"/>
        <v>7.6389090613867103E-2</v>
      </c>
      <c r="AG114" s="9">
        <f t="shared" si="7"/>
        <v>8.0423093624472745E-3</v>
      </c>
      <c r="AH114" s="9">
        <f t="shared" si="8"/>
        <v>4.2563349712160178E-3</v>
      </c>
      <c r="AI114" s="9">
        <f t="shared" si="9"/>
        <v>0</v>
      </c>
      <c r="AJ114" s="1" t="str">
        <f>IF(VLOOKUP(A114,Hospital!A:C,3,FALSE)="H","Hospital","Freestanding")</f>
        <v>Freestanding</v>
      </c>
      <c r="AK114" s="1">
        <v>2024</v>
      </c>
    </row>
    <row r="115" spans="1:37">
      <c r="A115" s="1">
        <v>27056</v>
      </c>
      <c r="B115" s="1" t="s">
        <v>280</v>
      </c>
      <c r="C115" s="1">
        <v>330145</v>
      </c>
      <c r="D115" s="1">
        <v>38695</v>
      </c>
      <c r="E115" s="1">
        <v>55980</v>
      </c>
      <c r="F115" s="1">
        <v>0</v>
      </c>
      <c r="G115" s="1">
        <v>509612</v>
      </c>
      <c r="H115" s="1">
        <v>291875</v>
      </c>
      <c r="I115" s="1">
        <v>578604</v>
      </c>
      <c r="J115" s="1">
        <v>1581499</v>
      </c>
      <c r="K115" s="1">
        <v>0</v>
      </c>
      <c r="L115" s="1">
        <v>191444</v>
      </c>
      <c r="M115" s="1">
        <v>0</v>
      </c>
      <c r="N115" s="1">
        <v>188438</v>
      </c>
      <c r="O115" s="1">
        <v>102340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453418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86603</v>
      </c>
      <c r="AB115" s="1">
        <v>0</v>
      </c>
      <c r="AC115" s="1">
        <v>370797</v>
      </c>
      <c r="AD115" s="1">
        <v>0</v>
      </c>
      <c r="AE115" s="1">
        <f t="shared" si="5"/>
        <v>4354630</v>
      </c>
      <c r="AF115" s="9">
        <f t="shared" si="6"/>
        <v>7.5814707564132888E-2</v>
      </c>
      <c r="AG115" s="9">
        <f t="shared" si="7"/>
        <v>8.8859443856309263E-3</v>
      </c>
      <c r="AH115" s="9">
        <f t="shared" si="8"/>
        <v>1.2855282767996362E-2</v>
      </c>
      <c r="AI115" s="9">
        <f t="shared" si="9"/>
        <v>0</v>
      </c>
      <c r="AJ115" s="1" t="str">
        <f>IF(VLOOKUP(A115,Hospital!A:C,3,FALSE)="H","Hospital","Freestanding")</f>
        <v>Freestanding</v>
      </c>
      <c r="AK115" s="1">
        <v>2024</v>
      </c>
    </row>
    <row r="116" spans="1:37">
      <c r="A116" s="1">
        <v>27057</v>
      </c>
      <c r="B116" s="1" t="s">
        <v>281</v>
      </c>
      <c r="C116" s="1">
        <v>236508</v>
      </c>
      <c r="D116" s="1">
        <v>15796</v>
      </c>
      <c r="E116" s="1">
        <v>27138</v>
      </c>
      <c r="F116" s="1">
        <v>17655</v>
      </c>
      <c r="G116" s="1">
        <v>277203</v>
      </c>
      <c r="H116" s="1">
        <v>425061</v>
      </c>
      <c r="I116" s="1">
        <v>453267</v>
      </c>
      <c r="J116" s="1">
        <v>932485</v>
      </c>
      <c r="K116" s="1">
        <v>79860</v>
      </c>
      <c r="L116" s="1">
        <v>68829</v>
      </c>
      <c r="M116" s="1">
        <v>19154</v>
      </c>
      <c r="N116" s="1">
        <v>127658</v>
      </c>
      <c r="O116" s="1">
        <v>61749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298896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62939</v>
      </c>
      <c r="AB116" s="1">
        <v>0</v>
      </c>
      <c r="AC116" s="1">
        <v>271545</v>
      </c>
      <c r="AD116" s="1">
        <v>0</v>
      </c>
      <c r="AE116" s="1">
        <f t="shared" si="5"/>
        <v>3078646</v>
      </c>
      <c r="AF116" s="9">
        <f t="shared" si="6"/>
        <v>7.6822083474358538E-2</v>
      </c>
      <c r="AG116" s="9">
        <f t="shared" si="7"/>
        <v>5.1308269934250313E-3</v>
      </c>
      <c r="AH116" s="9">
        <f t="shared" si="8"/>
        <v>8.8149140888559453E-3</v>
      </c>
      <c r="AI116" s="9">
        <f t="shared" si="9"/>
        <v>5.7346638749632139E-3</v>
      </c>
      <c r="AJ116" s="1" t="str">
        <f>IF(VLOOKUP(A116,Hospital!A:C,3,FALSE)="H","Hospital","Freestanding")</f>
        <v>Freestanding</v>
      </c>
      <c r="AK116" s="1">
        <v>2024</v>
      </c>
    </row>
    <row r="117" spans="1:37">
      <c r="A117" s="1">
        <v>27059</v>
      </c>
      <c r="B117" s="1" t="s">
        <v>282</v>
      </c>
      <c r="C117" s="1">
        <v>411078</v>
      </c>
      <c r="D117" s="1">
        <v>49570</v>
      </c>
      <c r="E117" s="1">
        <v>77288</v>
      </c>
      <c r="F117" s="1">
        <v>0</v>
      </c>
      <c r="G117" s="1">
        <v>464150</v>
      </c>
      <c r="H117" s="1">
        <v>589076</v>
      </c>
      <c r="I117" s="1">
        <v>1387231</v>
      </c>
      <c r="J117" s="1">
        <v>1507314</v>
      </c>
      <c r="K117" s="1">
        <v>63625</v>
      </c>
      <c r="L117" s="1">
        <v>115649</v>
      </c>
      <c r="M117" s="1">
        <v>0</v>
      </c>
      <c r="N117" s="1">
        <v>97314</v>
      </c>
      <c r="O117" s="1">
        <v>101399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495021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113074</v>
      </c>
      <c r="AB117" s="1">
        <v>0</v>
      </c>
      <c r="AC117" s="1">
        <v>470915</v>
      </c>
      <c r="AD117" s="1">
        <v>0</v>
      </c>
      <c r="AE117" s="1">
        <f t="shared" si="5"/>
        <v>5404768</v>
      </c>
      <c r="AF117" s="9">
        <f t="shared" si="6"/>
        <v>7.6058398806387248E-2</v>
      </c>
      <c r="AG117" s="9">
        <f t="shared" si="7"/>
        <v>9.1715315069953052E-3</v>
      </c>
      <c r="AH117" s="9">
        <f t="shared" si="8"/>
        <v>1.4299966252020438E-2</v>
      </c>
      <c r="AI117" s="9">
        <f t="shared" si="9"/>
        <v>0</v>
      </c>
      <c r="AJ117" s="1" t="str">
        <f>IF(VLOOKUP(A117,Hospital!A:C,3,FALSE)="H","Hospital","Freestanding")</f>
        <v>Freestanding</v>
      </c>
      <c r="AK117" s="1">
        <v>2024</v>
      </c>
    </row>
    <row r="118" spans="1:37">
      <c r="A118" s="1">
        <v>27060</v>
      </c>
      <c r="B118" s="1" t="s">
        <v>283</v>
      </c>
      <c r="C118" s="1">
        <v>954317</v>
      </c>
      <c r="D118" s="1">
        <v>30294</v>
      </c>
      <c r="E118" s="1">
        <v>237917</v>
      </c>
      <c r="F118" s="1">
        <v>112388</v>
      </c>
      <c r="G118" s="1">
        <v>1047202</v>
      </c>
      <c r="H118" s="1">
        <v>2581533</v>
      </c>
      <c r="I118" s="1">
        <v>1001642</v>
      </c>
      <c r="J118" s="1">
        <v>4269980</v>
      </c>
      <c r="K118" s="1">
        <v>654360</v>
      </c>
      <c r="L118" s="1">
        <v>418778</v>
      </c>
      <c r="M118" s="1">
        <v>0</v>
      </c>
      <c r="N118" s="1">
        <v>329703</v>
      </c>
      <c r="O118" s="1">
        <v>480642</v>
      </c>
      <c r="P118" s="1">
        <v>145019</v>
      </c>
      <c r="Q118" s="1">
        <v>183021</v>
      </c>
      <c r="R118" s="1">
        <v>60008</v>
      </c>
      <c r="S118" s="1">
        <v>0</v>
      </c>
      <c r="T118" s="1">
        <v>0</v>
      </c>
      <c r="U118" s="1">
        <v>999071</v>
      </c>
      <c r="V118" s="1">
        <v>-2875</v>
      </c>
      <c r="W118" s="1">
        <v>299185</v>
      </c>
      <c r="X118" s="1">
        <v>901</v>
      </c>
      <c r="Y118" s="1">
        <v>614510</v>
      </c>
      <c r="Z118" s="1">
        <v>-4209</v>
      </c>
      <c r="AA118" s="1">
        <v>295455</v>
      </c>
      <c r="AB118" s="1">
        <v>802</v>
      </c>
      <c r="AC118" s="1">
        <v>100172</v>
      </c>
      <c r="AD118" s="1">
        <v>1001</v>
      </c>
      <c r="AE118" s="1">
        <f t="shared" si="5"/>
        <v>13475901</v>
      </c>
      <c r="AF118" s="9">
        <f t="shared" si="6"/>
        <v>7.0816563582650247E-2</v>
      </c>
      <c r="AG118" s="9">
        <f t="shared" si="7"/>
        <v>2.248012952900144E-3</v>
      </c>
      <c r="AH118" s="9">
        <f t="shared" si="8"/>
        <v>1.7654997613888675E-2</v>
      </c>
      <c r="AI118" s="9">
        <f t="shared" si="9"/>
        <v>8.3399247293372072E-3</v>
      </c>
      <c r="AJ118" s="1" t="str">
        <f>IF(VLOOKUP(A118,Hospital!A:C,3,FALSE)="H","Hospital","Freestanding")</f>
        <v>Freestanding</v>
      </c>
      <c r="AK118" s="1">
        <v>2024</v>
      </c>
    </row>
    <row r="119" spans="1:37">
      <c r="A119" s="1">
        <v>27062</v>
      </c>
      <c r="B119" s="1" t="s">
        <v>284</v>
      </c>
      <c r="C119" s="1">
        <v>284342</v>
      </c>
      <c r="D119" s="1">
        <v>35704</v>
      </c>
      <c r="E119" s="1">
        <v>21434</v>
      </c>
      <c r="F119" s="1">
        <v>0</v>
      </c>
      <c r="G119" s="1">
        <v>415057</v>
      </c>
      <c r="H119" s="1">
        <v>86264</v>
      </c>
      <c r="I119" s="1">
        <v>658289</v>
      </c>
      <c r="J119" s="1">
        <v>1144475</v>
      </c>
      <c r="K119" s="1">
        <v>77605</v>
      </c>
      <c r="L119" s="1">
        <v>151849</v>
      </c>
      <c r="M119" s="1">
        <v>0</v>
      </c>
      <c r="N119" s="1">
        <v>145114</v>
      </c>
      <c r="O119" s="1">
        <v>83672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512659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66119</v>
      </c>
      <c r="AB119" s="1">
        <v>0</v>
      </c>
      <c r="AC119" s="1">
        <v>353284</v>
      </c>
      <c r="AD119" s="1">
        <v>0</v>
      </c>
      <c r="AE119" s="1">
        <f t="shared" si="5"/>
        <v>3694387</v>
      </c>
      <c r="AF119" s="9">
        <f t="shared" si="6"/>
        <v>7.6965948613396479E-2</v>
      </c>
      <c r="AG119" s="9">
        <f t="shared" si="7"/>
        <v>9.6643908718821274E-3</v>
      </c>
      <c r="AH119" s="9">
        <f t="shared" si="8"/>
        <v>5.8017744215752166E-3</v>
      </c>
      <c r="AI119" s="9">
        <f t="shared" si="9"/>
        <v>0</v>
      </c>
      <c r="AJ119" s="1" t="str">
        <f>IF(VLOOKUP(A119,Hospital!A:C,3,FALSE)="H","Hospital","Freestanding")</f>
        <v>Freestanding</v>
      </c>
      <c r="AK119" s="1">
        <v>2024</v>
      </c>
    </row>
    <row r="120" spans="1:37">
      <c r="A120" s="1">
        <v>27063</v>
      </c>
      <c r="B120" s="1" t="s">
        <v>285</v>
      </c>
      <c r="C120" s="1">
        <v>484783</v>
      </c>
      <c r="D120" s="1">
        <v>23420</v>
      </c>
      <c r="E120" s="1">
        <v>107390</v>
      </c>
      <c r="F120" s="1">
        <v>179534</v>
      </c>
      <c r="G120" s="1">
        <v>482683</v>
      </c>
      <c r="H120" s="1">
        <v>1668707</v>
      </c>
      <c r="I120" s="1">
        <v>742910</v>
      </c>
      <c r="J120" s="1">
        <v>2450991</v>
      </c>
      <c r="K120" s="1">
        <v>0</v>
      </c>
      <c r="L120" s="1">
        <v>424835</v>
      </c>
      <c r="M120" s="1">
        <v>0</v>
      </c>
      <c r="N120" s="1">
        <v>275471</v>
      </c>
      <c r="O120" s="1">
        <v>152984</v>
      </c>
      <c r="P120" s="1">
        <v>63241</v>
      </c>
      <c r="Q120" s="1">
        <v>0</v>
      </c>
      <c r="R120" s="1">
        <v>40215</v>
      </c>
      <c r="S120" s="1">
        <v>0</v>
      </c>
      <c r="T120" s="1">
        <v>0</v>
      </c>
      <c r="U120" s="1">
        <v>761127</v>
      </c>
      <c r="V120" s="1">
        <v>5742</v>
      </c>
      <c r="W120" s="1">
        <v>83462</v>
      </c>
      <c r="X120" s="1">
        <v>0</v>
      </c>
      <c r="Y120" s="1">
        <v>279561</v>
      </c>
      <c r="Z120" s="1">
        <v>-2903</v>
      </c>
      <c r="AA120" s="1">
        <v>225124</v>
      </c>
      <c r="AB120" s="1">
        <v>-924</v>
      </c>
      <c r="AC120" s="1">
        <v>364480</v>
      </c>
      <c r="AD120" s="1">
        <v>-1248</v>
      </c>
      <c r="AE120" s="1">
        <f t="shared" si="5"/>
        <v>8016458</v>
      </c>
      <c r="AF120" s="9">
        <f t="shared" si="6"/>
        <v>6.0473465962149371E-2</v>
      </c>
      <c r="AG120" s="9">
        <f t="shared" si="7"/>
        <v>2.9214897651805823E-3</v>
      </c>
      <c r="AH120" s="9">
        <f t="shared" si="8"/>
        <v>1.3396190686709766E-2</v>
      </c>
      <c r="AI120" s="9">
        <f t="shared" si="9"/>
        <v>2.2395676494531624E-2</v>
      </c>
      <c r="AJ120" s="1" t="str">
        <f>IF(VLOOKUP(A120,Hospital!A:C,3,FALSE)="H","Hospital","Freestanding")</f>
        <v>Freestanding</v>
      </c>
      <c r="AK120" s="1">
        <v>2024</v>
      </c>
    </row>
    <row r="121" spans="1:37">
      <c r="A121" s="1">
        <v>27066</v>
      </c>
      <c r="B121" s="1" t="s">
        <v>286</v>
      </c>
      <c r="C121" s="1">
        <v>388172</v>
      </c>
      <c r="D121" s="1">
        <v>3</v>
      </c>
      <c r="E121" s="1">
        <v>75736</v>
      </c>
      <c r="F121" s="1">
        <v>54099</v>
      </c>
      <c r="G121" s="1">
        <v>306333</v>
      </c>
      <c r="H121" s="1">
        <v>655867</v>
      </c>
      <c r="I121" s="1">
        <v>391477</v>
      </c>
      <c r="J121" s="1">
        <v>1196738</v>
      </c>
      <c r="K121" s="1">
        <v>597465</v>
      </c>
      <c r="L121" s="1">
        <v>79558</v>
      </c>
      <c r="M121" s="1">
        <v>0</v>
      </c>
      <c r="N121" s="1">
        <v>145426</v>
      </c>
      <c r="O121" s="1">
        <v>184659</v>
      </c>
      <c r="P121" s="1">
        <v>29823</v>
      </c>
      <c r="Q121" s="1">
        <v>43084</v>
      </c>
      <c r="R121" s="1">
        <v>11546</v>
      </c>
      <c r="S121" s="1">
        <v>0</v>
      </c>
      <c r="T121" s="1">
        <v>0</v>
      </c>
      <c r="U121" s="1">
        <v>598433</v>
      </c>
      <c r="V121" s="1">
        <v>3824</v>
      </c>
      <c r="W121" s="1">
        <v>94609</v>
      </c>
      <c r="X121" s="1">
        <v>975</v>
      </c>
      <c r="Y121" s="1">
        <v>304311</v>
      </c>
      <c r="Z121" s="1">
        <v>-1242</v>
      </c>
      <c r="AA121" s="1">
        <v>92617</v>
      </c>
      <c r="AB121" s="1">
        <v>-760</v>
      </c>
      <c r="AC121" s="1">
        <v>435488</v>
      </c>
      <c r="AD121" s="1">
        <v>-3317</v>
      </c>
      <c r="AE121" s="1">
        <f t="shared" si="5"/>
        <v>5166914</v>
      </c>
      <c r="AF121" s="9">
        <f t="shared" si="6"/>
        <v>7.5126468139396163E-2</v>
      </c>
      <c r="AG121" s="9">
        <f t="shared" si="7"/>
        <v>5.8061736657509683E-7</v>
      </c>
      <c r="AH121" s="9">
        <f t="shared" si="8"/>
        <v>1.4657878958310512E-2</v>
      </c>
      <c r="AI121" s="9">
        <f t="shared" si="9"/>
        <v>1.0470272971448721E-2</v>
      </c>
      <c r="AJ121" s="1" t="str">
        <f>IF(VLOOKUP(A121,Hospital!A:C,3,FALSE)="H","Hospital","Freestanding")</f>
        <v>Freestanding</v>
      </c>
      <c r="AK121" s="1">
        <v>2024</v>
      </c>
    </row>
    <row r="122" spans="1:37">
      <c r="A122" s="1">
        <v>27067</v>
      </c>
      <c r="B122" s="1" t="s">
        <v>287</v>
      </c>
      <c r="C122" s="1">
        <v>199057</v>
      </c>
      <c r="D122" s="1">
        <v>24481</v>
      </c>
      <c r="E122" s="1">
        <v>68437</v>
      </c>
      <c r="F122" s="1">
        <v>0</v>
      </c>
      <c r="G122" s="1">
        <v>230153</v>
      </c>
      <c r="H122" s="1">
        <v>388019</v>
      </c>
      <c r="I122" s="1">
        <v>751901</v>
      </c>
      <c r="J122" s="1">
        <v>780425</v>
      </c>
      <c r="K122" s="1">
        <v>6079</v>
      </c>
      <c r="L122" s="1">
        <v>67171</v>
      </c>
      <c r="M122" s="1">
        <v>0</v>
      </c>
      <c r="N122" s="1">
        <v>96185</v>
      </c>
      <c r="O122" s="1">
        <v>52105</v>
      </c>
      <c r="P122" s="1">
        <v>0</v>
      </c>
      <c r="Q122" s="1">
        <v>0</v>
      </c>
      <c r="R122" s="1">
        <v>4757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56569</v>
      </c>
      <c r="AB122" s="1">
        <v>284</v>
      </c>
      <c r="AC122" s="1">
        <v>203718</v>
      </c>
      <c r="AD122" s="1">
        <v>513</v>
      </c>
      <c r="AE122" s="1">
        <f t="shared" si="5"/>
        <v>2637879</v>
      </c>
      <c r="AF122" s="9">
        <f t="shared" si="6"/>
        <v>7.5461004845180535E-2</v>
      </c>
      <c r="AG122" s="9">
        <f t="shared" si="7"/>
        <v>9.2805621486049972E-3</v>
      </c>
      <c r="AH122" s="9">
        <f t="shared" si="8"/>
        <v>2.594394966562151E-2</v>
      </c>
      <c r="AI122" s="9">
        <f t="shared" si="9"/>
        <v>0</v>
      </c>
      <c r="AJ122" s="1" t="str">
        <f>IF(VLOOKUP(A122,Hospital!A:C,3,FALSE)="H","Hospital","Freestanding")</f>
        <v>Freestanding</v>
      </c>
      <c r="AK122" s="1">
        <v>2024</v>
      </c>
    </row>
    <row r="123" spans="1:37">
      <c r="A123" s="1">
        <v>27068</v>
      </c>
      <c r="B123" s="1" t="s">
        <v>288</v>
      </c>
      <c r="C123" s="1">
        <v>1112930</v>
      </c>
      <c r="D123" s="1">
        <v>6385</v>
      </c>
      <c r="E123" s="1">
        <v>129298</v>
      </c>
      <c r="F123" s="1">
        <v>201139</v>
      </c>
      <c r="G123" s="1">
        <v>1005658</v>
      </c>
      <c r="H123" s="1">
        <v>3581687</v>
      </c>
      <c r="I123" s="1">
        <v>1621072</v>
      </c>
      <c r="J123" s="1">
        <v>3851595</v>
      </c>
      <c r="K123" s="1">
        <v>164267</v>
      </c>
      <c r="L123" s="1">
        <v>341451</v>
      </c>
      <c r="M123" s="1">
        <v>0</v>
      </c>
      <c r="N123" s="1">
        <v>574246</v>
      </c>
      <c r="O123" s="1">
        <v>372037</v>
      </c>
      <c r="P123" s="1">
        <v>15876</v>
      </c>
      <c r="Q123" s="1">
        <v>193854</v>
      </c>
      <c r="R123" s="1">
        <v>10822</v>
      </c>
      <c r="S123" s="1">
        <v>0</v>
      </c>
      <c r="T123" s="1">
        <v>0</v>
      </c>
      <c r="U123" s="1">
        <v>1466196</v>
      </c>
      <c r="V123" s="1">
        <v>15606</v>
      </c>
      <c r="W123" s="1">
        <v>99998</v>
      </c>
      <c r="X123" s="1">
        <v>-1151</v>
      </c>
      <c r="Y123" s="1">
        <v>550056</v>
      </c>
      <c r="Z123" s="1">
        <v>-7610</v>
      </c>
      <c r="AA123" s="1">
        <v>418394</v>
      </c>
      <c r="AB123" s="1">
        <v>-192</v>
      </c>
      <c r="AC123" s="1">
        <v>656968</v>
      </c>
      <c r="AD123" s="1">
        <v>-18295</v>
      </c>
      <c r="AE123" s="1">
        <f t="shared" si="5"/>
        <v>14912535</v>
      </c>
      <c r="AF123" s="9">
        <f t="shared" si="6"/>
        <v>7.463050380099695E-2</v>
      </c>
      <c r="AG123" s="9">
        <f t="shared" si="7"/>
        <v>4.2816328679195055E-4</v>
      </c>
      <c r="AH123" s="9">
        <f t="shared" si="8"/>
        <v>8.6704239084769968E-3</v>
      </c>
      <c r="AI123" s="9">
        <f t="shared" si="9"/>
        <v>1.3487914697266427E-2</v>
      </c>
      <c r="AJ123" s="1" t="str">
        <f>IF(VLOOKUP(A123,Hospital!A:C,3,FALSE)="H","Hospital","Freestanding")</f>
        <v>Freestanding</v>
      </c>
      <c r="AK123" s="1">
        <v>2024</v>
      </c>
    </row>
    <row r="124" spans="1:37">
      <c r="A124" s="1">
        <v>27070</v>
      </c>
      <c r="B124" s="1" t="s">
        <v>289</v>
      </c>
      <c r="C124" s="1">
        <v>287815</v>
      </c>
      <c r="D124" s="1">
        <v>29826</v>
      </c>
      <c r="E124" s="1">
        <v>27466</v>
      </c>
      <c r="F124" s="1">
        <v>0</v>
      </c>
      <c r="G124" s="1">
        <v>209014</v>
      </c>
      <c r="H124" s="1">
        <v>263217</v>
      </c>
      <c r="I124" s="1">
        <v>681293</v>
      </c>
      <c r="J124" s="1">
        <v>1425131</v>
      </c>
      <c r="K124" s="1">
        <v>2727</v>
      </c>
      <c r="L124" s="1">
        <v>87565</v>
      </c>
      <c r="M124" s="1">
        <v>0</v>
      </c>
      <c r="N124" s="1">
        <v>189554</v>
      </c>
      <c r="O124" s="1">
        <v>111690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396167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107950</v>
      </c>
      <c r="AB124" s="1">
        <v>0</v>
      </c>
      <c r="AC124" s="1">
        <v>367026</v>
      </c>
      <c r="AD124" s="1">
        <v>0</v>
      </c>
      <c r="AE124" s="1">
        <f t="shared" si="5"/>
        <v>3841334</v>
      </c>
      <c r="AF124" s="9">
        <f t="shared" si="6"/>
        <v>7.4925794008019089E-2</v>
      </c>
      <c r="AG124" s="9">
        <f t="shared" si="7"/>
        <v>7.7644901484744625E-3</v>
      </c>
      <c r="AH124" s="9">
        <f t="shared" si="8"/>
        <v>7.1501202446858309E-3</v>
      </c>
      <c r="AI124" s="9">
        <f t="shared" si="9"/>
        <v>0</v>
      </c>
      <c r="AJ124" s="1" t="str">
        <f>IF(VLOOKUP(A124,Hospital!A:C,3,FALSE)="H","Hospital","Freestanding")</f>
        <v>Freestanding</v>
      </c>
      <c r="AK124" s="1">
        <v>2024</v>
      </c>
    </row>
    <row r="125" spans="1:37">
      <c r="A125" s="1">
        <v>27071</v>
      </c>
      <c r="B125" s="1" t="s">
        <v>290</v>
      </c>
      <c r="C125" s="1">
        <v>93831</v>
      </c>
      <c r="D125" s="1">
        <v>20397</v>
      </c>
      <c r="E125" s="1">
        <v>41085</v>
      </c>
      <c r="F125" s="1">
        <v>0</v>
      </c>
      <c r="G125" s="1">
        <v>105968</v>
      </c>
      <c r="H125" s="1">
        <v>130558</v>
      </c>
      <c r="I125" s="1">
        <v>337860</v>
      </c>
      <c r="J125" s="1">
        <v>280735</v>
      </c>
      <c r="K125" s="1">
        <v>0</v>
      </c>
      <c r="L125" s="1">
        <v>27069</v>
      </c>
      <c r="M125" s="1">
        <v>0</v>
      </c>
      <c r="N125" s="1">
        <v>16860</v>
      </c>
      <c r="O125" s="1">
        <v>50695</v>
      </c>
      <c r="P125" s="1">
        <v>0</v>
      </c>
      <c r="Q125" s="1">
        <v>0</v>
      </c>
      <c r="R125" s="1">
        <v>0</v>
      </c>
      <c r="S125" s="1">
        <v>2</v>
      </c>
      <c r="T125" s="1">
        <v>0</v>
      </c>
      <c r="U125" s="1">
        <v>120519</v>
      </c>
      <c r="V125" s="1">
        <v>0</v>
      </c>
      <c r="W125" s="1">
        <v>0</v>
      </c>
      <c r="X125" s="1">
        <v>0</v>
      </c>
      <c r="Y125" s="1">
        <v>57287</v>
      </c>
      <c r="Z125" s="1">
        <v>0</v>
      </c>
      <c r="AA125" s="1">
        <v>0</v>
      </c>
      <c r="AB125" s="1">
        <v>0</v>
      </c>
      <c r="AC125" s="1">
        <v>114238</v>
      </c>
      <c r="AD125" s="1">
        <v>0</v>
      </c>
      <c r="AE125" s="1">
        <f t="shared" si="5"/>
        <v>1241791</v>
      </c>
      <c r="AF125" s="9">
        <f t="shared" si="6"/>
        <v>7.5561024359171558E-2</v>
      </c>
      <c r="AG125" s="9">
        <f t="shared" si="7"/>
        <v>1.642546934226452E-2</v>
      </c>
      <c r="AH125" s="9">
        <f t="shared" si="8"/>
        <v>3.3085277635286452E-2</v>
      </c>
      <c r="AI125" s="9">
        <f t="shared" si="9"/>
        <v>0</v>
      </c>
      <c r="AJ125" s="1" t="str">
        <f>IF(VLOOKUP(A125,Hospital!A:C,3,FALSE)="H","Hospital","Freestanding")</f>
        <v>Freestanding</v>
      </c>
      <c r="AK125" s="1">
        <v>2024</v>
      </c>
    </row>
    <row r="126" spans="1:37">
      <c r="A126" s="1">
        <v>27072</v>
      </c>
      <c r="B126" s="1" t="s">
        <v>291</v>
      </c>
      <c r="C126" s="1">
        <v>1182993</v>
      </c>
      <c r="D126" s="1">
        <v>232216</v>
      </c>
      <c r="E126" s="1">
        <v>427952</v>
      </c>
      <c r="F126" s="1">
        <v>0</v>
      </c>
      <c r="G126" s="1">
        <v>997080</v>
      </c>
      <c r="H126" s="1">
        <v>5058850</v>
      </c>
      <c r="I126" s="1">
        <v>2876743</v>
      </c>
      <c r="J126" s="1">
        <v>5010607</v>
      </c>
      <c r="K126" s="1">
        <v>114945</v>
      </c>
      <c r="L126" s="1">
        <v>285022</v>
      </c>
      <c r="M126" s="1">
        <v>0</v>
      </c>
      <c r="N126" s="1">
        <v>420383</v>
      </c>
      <c r="O126" s="1">
        <v>337413</v>
      </c>
      <c r="P126" s="1">
        <v>0</v>
      </c>
      <c r="Q126" s="1">
        <v>121168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217820</v>
      </c>
      <c r="AB126" s="1">
        <v>0</v>
      </c>
      <c r="AC126" s="1">
        <v>1027118</v>
      </c>
      <c r="AD126" s="1">
        <v>0</v>
      </c>
      <c r="AE126" s="1">
        <f t="shared" si="5"/>
        <v>16467149</v>
      </c>
      <c r="AF126" s="9">
        <f t="shared" si="6"/>
        <v>7.1839575873152053E-2</v>
      </c>
      <c r="AG126" s="9">
        <f t="shared" si="7"/>
        <v>1.410177317275747E-2</v>
      </c>
      <c r="AH126" s="9">
        <f t="shared" si="8"/>
        <v>2.5988226620163576E-2</v>
      </c>
      <c r="AI126" s="9">
        <f t="shared" si="9"/>
        <v>0</v>
      </c>
      <c r="AJ126" s="1" t="str">
        <f>IF(VLOOKUP(A126,Hospital!A:C,3,FALSE)="H","Hospital","Freestanding")</f>
        <v>Freestanding</v>
      </c>
      <c r="AK126" s="1">
        <v>2024</v>
      </c>
    </row>
    <row r="127" spans="1:37">
      <c r="A127" s="1">
        <v>27074</v>
      </c>
      <c r="B127" s="1" t="s">
        <v>292</v>
      </c>
      <c r="C127" s="1">
        <v>1069876</v>
      </c>
      <c r="D127" s="1">
        <v>643</v>
      </c>
      <c r="E127" s="1">
        <v>164419</v>
      </c>
      <c r="F127" s="1">
        <v>222225</v>
      </c>
      <c r="G127" s="1">
        <v>619034</v>
      </c>
      <c r="H127" s="1">
        <v>3272120</v>
      </c>
      <c r="I127" s="1">
        <v>1314303</v>
      </c>
      <c r="J127" s="1">
        <v>5195478</v>
      </c>
      <c r="K127" s="1">
        <v>761904</v>
      </c>
      <c r="L127" s="1">
        <v>206101</v>
      </c>
      <c r="M127" s="1">
        <v>0</v>
      </c>
      <c r="N127" s="1">
        <v>257302</v>
      </c>
      <c r="O127" s="1">
        <v>734519</v>
      </c>
      <c r="P127" s="1">
        <v>64306</v>
      </c>
      <c r="Q127" s="1">
        <v>63292</v>
      </c>
      <c r="R127" s="1">
        <v>-8125</v>
      </c>
      <c r="S127" s="1">
        <v>0</v>
      </c>
      <c r="T127" s="1">
        <v>0</v>
      </c>
      <c r="U127" s="1">
        <v>1070562</v>
      </c>
      <c r="V127" s="1">
        <v>6169</v>
      </c>
      <c r="W127" s="1">
        <v>139750</v>
      </c>
      <c r="X127" s="1">
        <v>1625</v>
      </c>
      <c r="Y127" s="1">
        <v>844930</v>
      </c>
      <c r="Z127" s="1">
        <v>-1474</v>
      </c>
      <c r="AA127" s="1">
        <v>174995</v>
      </c>
      <c r="AB127" s="1">
        <v>-1356</v>
      </c>
      <c r="AC127" s="1">
        <v>770559</v>
      </c>
      <c r="AD127" s="1">
        <v>11437</v>
      </c>
      <c r="AE127" s="1">
        <f t="shared" si="5"/>
        <v>15497431</v>
      </c>
      <c r="AF127" s="9">
        <f t="shared" si="6"/>
        <v>6.9035700175080636E-2</v>
      </c>
      <c r="AG127" s="9">
        <f t="shared" si="7"/>
        <v>4.1490747724574481E-5</v>
      </c>
      <c r="AH127" s="9">
        <f t="shared" si="8"/>
        <v>1.0609435847786643E-2</v>
      </c>
      <c r="AI127" s="9">
        <f t="shared" si="9"/>
        <v>1.4339473426273038E-2</v>
      </c>
      <c r="AJ127" s="1" t="str">
        <f>IF(VLOOKUP(A127,Hospital!A:C,3,FALSE)="H","Hospital","Freestanding")</f>
        <v>Freestanding</v>
      </c>
      <c r="AK127" s="1">
        <v>2024</v>
      </c>
    </row>
    <row r="128" spans="1:37">
      <c r="A128" s="1">
        <v>27075</v>
      </c>
      <c r="B128" s="1" t="s">
        <v>293</v>
      </c>
      <c r="C128" s="1">
        <v>462859</v>
      </c>
      <c r="D128" s="1">
        <v>5384</v>
      </c>
      <c r="E128" s="1">
        <v>52550</v>
      </c>
      <c r="F128" s="1">
        <v>179859</v>
      </c>
      <c r="G128" s="1">
        <v>370356</v>
      </c>
      <c r="H128" s="1">
        <v>1277689</v>
      </c>
      <c r="I128" s="1">
        <v>908221</v>
      </c>
      <c r="J128" s="1">
        <v>2266510</v>
      </c>
      <c r="K128" s="1">
        <v>8489</v>
      </c>
      <c r="L128" s="1">
        <v>256709</v>
      </c>
      <c r="M128" s="1">
        <v>0</v>
      </c>
      <c r="N128" s="1">
        <v>210141</v>
      </c>
      <c r="O128" s="1">
        <v>103628</v>
      </c>
      <c r="P128" s="1">
        <v>42855</v>
      </c>
      <c r="Q128" s="1">
        <v>0</v>
      </c>
      <c r="R128" s="1">
        <v>42608</v>
      </c>
      <c r="S128" s="1">
        <v>0</v>
      </c>
      <c r="T128" s="1">
        <v>0</v>
      </c>
      <c r="U128" s="1">
        <v>633716</v>
      </c>
      <c r="V128" s="1">
        <v>6017</v>
      </c>
      <c r="W128" s="1">
        <v>31708</v>
      </c>
      <c r="X128" s="1">
        <v>-809</v>
      </c>
      <c r="Y128" s="1">
        <v>272161</v>
      </c>
      <c r="Z128" s="1">
        <v>5818</v>
      </c>
      <c r="AA128" s="1">
        <v>116073</v>
      </c>
      <c r="AB128" s="1">
        <v>1973</v>
      </c>
      <c r="AC128" s="1">
        <v>374311</v>
      </c>
      <c r="AD128" s="1">
        <v>3544</v>
      </c>
      <c r="AE128" s="1">
        <f t="shared" si="5"/>
        <v>6931718</v>
      </c>
      <c r="AF128" s="9">
        <f t="shared" si="6"/>
        <v>6.6774066688806435E-2</v>
      </c>
      <c r="AG128" s="9">
        <f t="shared" si="7"/>
        <v>7.7671942222692848E-4</v>
      </c>
      <c r="AH128" s="9">
        <f t="shared" si="8"/>
        <v>7.5810931719957446E-3</v>
      </c>
      <c r="AI128" s="9">
        <f t="shared" si="9"/>
        <v>2.5947247132673313E-2</v>
      </c>
      <c r="AJ128" s="1" t="str">
        <f>IF(VLOOKUP(A128,Hospital!A:C,3,FALSE)="H","Hospital","Freestanding")</f>
        <v>Freestanding</v>
      </c>
      <c r="AK128" s="1">
        <v>2024</v>
      </c>
    </row>
    <row r="129" spans="1:37">
      <c r="A129" s="1">
        <v>27076</v>
      </c>
      <c r="B129" s="1" t="s">
        <v>294</v>
      </c>
      <c r="C129" s="1">
        <v>430820</v>
      </c>
      <c r="D129" s="1">
        <v>30</v>
      </c>
      <c r="E129" s="1">
        <v>94445</v>
      </c>
      <c r="F129" s="1">
        <v>164965</v>
      </c>
      <c r="G129" s="1">
        <v>458781</v>
      </c>
      <c r="H129" s="1">
        <v>1795352</v>
      </c>
      <c r="I129" s="1">
        <v>586163</v>
      </c>
      <c r="J129" s="1">
        <v>1530248</v>
      </c>
      <c r="K129" s="1">
        <v>108324</v>
      </c>
      <c r="L129" s="1">
        <v>151398</v>
      </c>
      <c r="M129" s="1">
        <v>0</v>
      </c>
      <c r="N129" s="1">
        <v>281426</v>
      </c>
      <c r="O129" s="1">
        <v>121624</v>
      </c>
      <c r="P129" s="1">
        <v>85554</v>
      </c>
      <c r="Q129" s="1">
        <v>55438</v>
      </c>
      <c r="R129" s="1">
        <v>20307</v>
      </c>
      <c r="S129" s="1">
        <v>0</v>
      </c>
      <c r="T129" s="1">
        <v>0</v>
      </c>
      <c r="U129" s="1">
        <v>29026</v>
      </c>
      <c r="V129" s="1">
        <v>-2480</v>
      </c>
      <c r="W129" s="1">
        <v>100</v>
      </c>
      <c r="X129" s="1">
        <v>-50</v>
      </c>
      <c r="Y129" s="1">
        <v>201086</v>
      </c>
      <c r="Z129" s="1">
        <v>2751</v>
      </c>
      <c r="AA129" s="1">
        <v>1141</v>
      </c>
      <c r="AB129" s="1">
        <v>0</v>
      </c>
      <c r="AC129" s="1">
        <v>357583</v>
      </c>
      <c r="AD129" s="1">
        <v>-124</v>
      </c>
      <c r="AE129" s="1">
        <f t="shared" si="5"/>
        <v>5783648</v>
      </c>
      <c r="AF129" s="9">
        <f t="shared" si="6"/>
        <v>7.4489318852046321E-2</v>
      </c>
      <c r="AG129" s="9">
        <f t="shared" si="7"/>
        <v>5.1870376620430565E-6</v>
      </c>
      <c r="AH129" s="9">
        <f t="shared" si="8"/>
        <v>1.6329659066388551E-2</v>
      </c>
      <c r="AI129" s="9">
        <f t="shared" si="9"/>
        <v>2.8522655597297761E-2</v>
      </c>
      <c r="AJ129" s="1" t="str">
        <f>IF(VLOOKUP(A129,Hospital!A:C,3,FALSE)="H","Hospital","Freestanding")</f>
        <v>Freestanding</v>
      </c>
      <c r="AK129" s="1">
        <v>2024</v>
      </c>
    </row>
    <row r="130" spans="1:37">
      <c r="A130" s="1">
        <v>27077</v>
      </c>
      <c r="B130" s="1" t="s">
        <v>295</v>
      </c>
      <c r="C130" s="1">
        <v>355718</v>
      </c>
      <c r="D130" s="1">
        <v>26064</v>
      </c>
      <c r="E130" s="1">
        <v>88115</v>
      </c>
      <c r="F130" s="1">
        <v>0</v>
      </c>
      <c r="G130" s="1">
        <v>550460</v>
      </c>
      <c r="H130" s="1">
        <v>597789</v>
      </c>
      <c r="I130" s="1">
        <v>595766</v>
      </c>
      <c r="J130" s="1">
        <v>1334583</v>
      </c>
      <c r="K130" s="1">
        <v>227144</v>
      </c>
      <c r="L130" s="1">
        <v>163244</v>
      </c>
      <c r="M130" s="1">
        <v>0</v>
      </c>
      <c r="N130" s="1">
        <v>96096</v>
      </c>
      <c r="O130" s="1">
        <v>150900</v>
      </c>
      <c r="P130" s="1">
        <v>0</v>
      </c>
      <c r="Q130" s="1">
        <v>2737</v>
      </c>
      <c r="R130" s="1">
        <v>0</v>
      </c>
      <c r="S130" s="1">
        <v>0</v>
      </c>
      <c r="T130" s="1">
        <v>0</v>
      </c>
      <c r="U130" s="1">
        <v>9784</v>
      </c>
      <c r="V130" s="1">
        <v>0</v>
      </c>
      <c r="W130" s="1">
        <v>39746</v>
      </c>
      <c r="X130" s="1">
        <v>0</v>
      </c>
      <c r="Y130" s="1">
        <v>324923</v>
      </c>
      <c r="Z130" s="1">
        <v>0</v>
      </c>
      <c r="AA130" s="1">
        <v>105323</v>
      </c>
      <c r="AB130" s="1">
        <v>0</v>
      </c>
      <c r="AC130" s="1">
        <v>505544</v>
      </c>
      <c r="AD130" s="1">
        <v>0</v>
      </c>
      <c r="AE130" s="1">
        <f t="shared" si="5"/>
        <v>4704039</v>
      </c>
      <c r="AF130" s="9">
        <f t="shared" si="6"/>
        <v>7.5619696180240004E-2</v>
      </c>
      <c r="AG130" s="9">
        <f t="shared" si="7"/>
        <v>5.5407703890210094E-3</v>
      </c>
      <c r="AH130" s="9">
        <f t="shared" si="8"/>
        <v>1.8731774970403094E-2</v>
      </c>
      <c r="AI130" s="9">
        <f t="shared" si="9"/>
        <v>0</v>
      </c>
      <c r="AJ130" s="1" t="str">
        <f>IF(VLOOKUP(A130,Hospital!A:C,3,FALSE)="H","Hospital","Freestanding")</f>
        <v>Freestanding</v>
      </c>
      <c r="AK130" s="1">
        <v>2024</v>
      </c>
    </row>
    <row r="131" spans="1:37">
      <c r="A131" s="1">
        <v>27090</v>
      </c>
      <c r="B131" s="1" t="s">
        <v>296</v>
      </c>
      <c r="C131" s="1">
        <v>438320</v>
      </c>
      <c r="D131" s="1">
        <v>17313</v>
      </c>
      <c r="E131" s="1">
        <v>64495</v>
      </c>
      <c r="F131" s="1">
        <v>120753</v>
      </c>
      <c r="G131" s="1">
        <v>426711</v>
      </c>
      <c r="H131" s="1">
        <v>1769772</v>
      </c>
      <c r="I131" s="1">
        <v>292188</v>
      </c>
      <c r="J131" s="1">
        <v>1666094</v>
      </c>
      <c r="K131" s="1">
        <v>7949</v>
      </c>
      <c r="L131" s="1">
        <v>181006</v>
      </c>
      <c r="M131" s="1">
        <v>0</v>
      </c>
      <c r="N131" s="1">
        <v>115598</v>
      </c>
      <c r="O131" s="1">
        <v>191424</v>
      </c>
      <c r="P131" s="1">
        <v>10841</v>
      </c>
      <c r="Q131" s="1">
        <v>16045</v>
      </c>
      <c r="R131" s="1">
        <v>0</v>
      </c>
      <c r="S131" s="1">
        <v>0</v>
      </c>
      <c r="T131" s="1">
        <v>0</v>
      </c>
      <c r="U131" s="1">
        <v>670308</v>
      </c>
      <c r="V131" s="1">
        <v>0</v>
      </c>
      <c r="W131" s="1">
        <v>53679</v>
      </c>
      <c r="X131" s="1">
        <v>0</v>
      </c>
      <c r="Y131" s="1">
        <v>225019</v>
      </c>
      <c r="Z131" s="1">
        <v>0</v>
      </c>
      <c r="AA131" s="1">
        <v>127719</v>
      </c>
      <c r="AB131" s="1">
        <v>0</v>
      </c>
      <c r="AC131" s="1">
        <v>424206</v>
      </c>
      <c r="AD131" s="1">
        <v>0</v>
      </c>
      <c r="AE131" s="1">
        <f t="shared" si="5"/>
        <v>6178559</v>
      </c>
      <c r="AF131" s="9">
        <f t="shared" si="6"/>
        <v>7.0942108022275102E-2</v>
      </c>
      <c r="AG131" s="9">
        <f t="shared" si="7"/>
        <v>2.802109682856472E-3</v>
      </c>
      <c r="AH131" s="9">
        <f t="shared" si="8"/>
        <v>1.0438518107539315E-2</v>
      </c>
      <c r="AI131" s="9">
        <f t="shared" si="9"/>
        <v>1.9543877463984727E-2</v>
      </c>
      <c r="AJ131" s="1" t="str">
        <f>IF(VLOOKUP(A131,Hospital!A:C,3,FALSE)="H","Hospital","Freestanding")</f>
        <v>Freestanding</v>
      </c>
      <c r="AK131" s="1">
        <v>2024</v>
      </c>
    </row>
    <row r="132" spans="1:37">
      <c r="A132" s="1">
        <v>27092</v>
      </c>
      <c r="B132" s="1" t="s">
        <v>297</v>
      </c>
      <c r="C132" s="1">
        <v>363503</v>
      </c>
      <c r="D132" s="1">
        <v>12273</v>
      </c>
      <c r="E132" s="1">
        <v>35862</v>
      </c>
      <c r="F132" s="1">
        <v>80826</v>
      </c>
      <c r="G132" s="1">
        <v>451627</v>
      </c>
      <c r="H132" s="1">
        <v>1152973</v>
      </c>
      <c r="I132" s="1">
        <v>667018</v>
      </c>
      <c r="J132" s="1">
        <v>1080378</v>
      </c>
      <c r="K132" s="1">
        <v>3273</v>
      </c>
      <c r="L132" s="1">
        <v>221263</v>
      </c>
      <c r="M132" s="1">
        <v>0</v>
      </c>
      <c r="N132" s="1">
        <v>162178</v>
      </c>
      <c r="O132" s="1">
        <v>59909</v>
      </c>
      <c r="P132" s="1">
        <v>17580</v>
      </c>
      <c r="Q132" s="1">
        <v>134369</v>
      </c>
      <c r="R132" s="1">
        <v>0</v>
      </c>
      <c r="S132" s="1">
        <v>0</v>
      </c>
      <c r="T132" s="1">
        <v>0</v>
      </c>
      <c r="U132" s="1">
        <v>575037</v>
      </c>
      <c r="V132" s="1">
        <v>0</v>
      </c>
      <c r="W132" s="1">
        <v>0</v>
      </c>
      <c r="X132" s="1">
        <v>0</v>
      </c>
      <c r="Y132" s="1">
        <v>96502</v>
      </c>
      <c r="Z132" s="1">
        <v>0</v>
      </c>
      <c r="AA132" s="1">
        <v>78073</v>
      </c>
      <c r="AB132" s="1">
        <v>0</v>
      </c>
      <c r="AC132" s="1">
        <v>228070</v>
      </c>
      <c r="AD132" s="1">
        <v>0</v>
      </c>
      <c r="AE132" s="1">
        <f t="shared" ref="AE132:AE195" si="10">SUM(G132:AD132)</f>
        <v>4928250</v>
      </c>
      <c r="AF132" s="9">
        <f t="shared" ref="AF132:AF195" si="11">C132/AE132</f>
        <v>7.375904225637904E-2</v>
      </c>
      <c r="AG132" s="9">
        <f t="shared" ref="AG132:AG195" si="12">D132/AE132</f>
        <v>2.490336326282149E-3</v>
      </c>
      <c r="AH132" s="9">
        <f t="shared" ref="AH132:AH195" si="13">E132/AE132</f>
        <v>7.2768224014609648E-3</v>
      </c>
      <c r="AI132" s="9">
        <f t="shared" ref="AI132:AI195" si="14">F132/AE132</f>
        <v>1.6400547861817074E-2</v>
      </c>
      <c r="AJ132" s="1" t="str">
        <f>IF(VLOOKUP(A132,Hospital!A:C,3,FALSE)="H","Hospital","Freestanding")</f>
        <v>Freestanding</v>
      </c>
      <c r="AK132" s="1">
        <v>2024</v>
      </c>
    </row>
    <row r="133" spans="1:37">
      <c r="A133" s="1">
        <v>27093</v>
      </c>
      <c r="B133" s="1" t="s">
        <v>298</v>
      </c>
      <c r="C133" s="1">
        <v>300977</v>
      </c>
      <c r="D133" s="1">
        <v>19952</v>
      </c>
      <c r="E133" s="1">
        <v>102167</v>
      </c>
      <c r="F133" s="1">
        <v>75709</v>
      </c>
      <c r="G133" s="1">
        <v>357505</v>
      </c>
      <c r="H133" s="1">
        <v>587090</v>
      </c>
      <c r="I133" s="1">
        <v>464534</v>
      </c>
      <c r="J133" s="1">
        <v>1031582</v>
      </c>
      <c r="K133" s="1">
        <v>7849</v>
      </c>
      <c r="L133" s="1">
        <v>160889</v>
      </c>
      <c r="M133" s="1">
        <v>0</v>
      </c>
      <c r="N133" s="1">
        <v>225280</v>
      </c>
      <c r="O133" s="1">
        <v>156243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650595</v>
      </c>
      <c r="V133" s="1">
        <v>0</v>
      </c>
      <c r="W133" s="1">
        <v>20968</v>
      </c>
      <c r="X133" s="1">
        <v>0</v>
      </c>
      <c r="Y133" s="1">
        <v>78307</v>
      </c>
      <c r="Z133" s="1">
        <v>0</v>
      </c>
      <c r="AA133" s="1">
        <v>95868</v>
      </c>
      <c r="AB133" s="1">
        <v>0</v>
      </c>
      <c r="AC133" s="1">
        <v>170624</v>
      </c>
      <c r="AD133" s="1">
        <v>0</v>
      </c>
      <c r="AE133" s="1">
        <f t="shared" si="10"/>
        <v>4007334</v>
      </c>
      <c r="AF133" s="9">
        <f t="shared" si="11"/>
        <v>7.5106542154958877E-2</v>
      </c>
      <c r="AG133" s="9">
        <f t="shared" si="12"/>
        <v>4.9788712395822258E-3</v>
      </c>
      <c r="AH133" s="9">
        <f t="shared" si="13"/>
        <v>2.5495004908500266E-2</v>
      </c>
      <c r="AI133" s="9">
        <f t="shared" si="14"/>
        <v>1.8892610398833738E-2</v>
      </c>
      <c r="AJ133" s="1" t="str">
        <f>IF(VLOOKUP(A133,Hospital!A:C,3,FALSE)="H","Hospital","Freestanding")</f>
        <v>Freestanding</v>
      </c>
      <c r="AK133" s="1">
        <v>2024</v>
      </c>
    </row>
    <row r="134" spans="1:37">
      <c r="A134" s="1">
        <v>27095</v>
      </c>
      <c r="B134" s="1" t="s">
        <v>299</v>
      </c>
      <c r="C134" s="1">
        <v>534843</v>
      </c>
      <c r="D134" s="1">
        <v>149</v>
      </c>
      <c r="E134" s="1">
        <v>62391</v>
      </c>
      <c r="F134" s="1">
        <v>205186</v>
      </c>
      <c r="G134" s="1">
        <v>768751</v>
      </c>
      <c r="H134" s="1">
        <v>1821770</v>
      </c>
      <c r="I134" s="1">
        <v>763997</v>
      </c>
      <c r="J134" s="1">
        <v>2042479</v>
      </c>
      <c r="K134" s="1">
        <v>0</v>
      </c>
      <c r="L134" s="1">
        <v>193635</v>
      </c>
      <c r="M134" s="1">
        <v>0</v>
      </c>
      <c r="N134" s="1">
        <v>213250</v>
      </c>
      <c r="O134" s="1">
        <v>74618</v>
      </c>
      <c r="P134" s="1">
        <v>0</v>
      </c>
      <c r="Q134" s="1">
        <v>69177</v>
      </c>
      <c r="R134" s="1">
        <v>33123</v>
      </c>
      <c r="S134" s="1">
        <v>0</v>
      </c>
      <c r="T134" s="1">
        <v>0</v>
      </c>
      <c r="U134" s="1">
        <v>544764</v>
      </c>
      <c r="V134" s="1">
        <v>2442</v>
      </c>
      <c r="W134" s="1">
        <v>0</v>
      </c>
      <c r="X134" s="1">
        <v>0</v>
      </c>
      <c r="Y134" s="1">
        <v>241210</v>
      </c>
      <c r="Z134" s="1">
        <v>5436</v>
      </c>
      <c r="AA134" s="1">
        <v>67613</v>
      </c>
      <c r="AB134" s="1">
        <v>-856</v>
      </c>
      <c r="AC134" s="1">
        <v>395528</v>
      </c>
      <c r="AD134" s="1">
        <v>3788</v>
      </c>
      <c r="AE134" s="1">
        <f t="shared" si="10"/>
        <v>7240725</v>
      </c>
      <c r="AF134" s="9">
        <f t="shared" si="11"/>
        <v>7.3865945744383335E-2</v>
      </c>
      <c r="AG134" s="9">
        <f t="shared" si="12"/>
        <v>2.0578049849980492E-5</v>
      </c>
      <c r="AH134" s="9">
        <f t="shared" si="13"/>
        <v>8.6166785784572673E-3</v>
      </c>
      <c r="AI134" s="9">
        <f t="shared" si="14"/>
        <v>2.833777004374562E-2</v>
      </c>
      <c r="AJ134" s="1" t="str">
        <f>IF(VLOOKUP(A134,Hospital!A:C,3,FALSE)="H","Hospital","Freestanding")</f>
        <v>Freestanding</v>
      </c>
      <c r="AK134" s="1">
        <v>2024</v>
      </c>
    </row>
    <row r="135" spans="1:37">
      <c r="A135" s="1">
        <v>28001</v>
      </c>
      <c r="B135" s="1" t="s">
        <v>300</v>
      </c>
      <c r="C135" s="1">
        <v>175446</v>
      </c>
      <c r="D135" s="1">
        <v>0</v>
      </c>
      <c r="E135" s="1">
        <v>78050</v>
      </c>
      <c r="F135" s="1">
        <v>16511</v>
      </c>
      <c r="G135" s="1">
        <v>204806</v>
      </c>
      <c r="H135" s="1">
        <v>367645</v>
      </c>
      <c r="I135" s="1">
        <v>156832</v>
      </c>
      <c r="J135" s="1">
        <v>602753</v>
      </c>
      <c r="K135" s="1">
        <v>239638</v>
      </c>
      <c r="L135" s="1">
        <v>57654</v>
      </c>
      <c r="M135" s="1">
        <v>0</v>
      </c>
      <c r="N135" s="1">
        <v>62149</v>
      </c>
      <c r="O135" s="1">
        <v>79877</v>
      </c>
      <c r="P135" s="1">
        <v>0</v>
      </c>
      <c r="Q135" s="1">
        <v>0</v>
      </c>
      <c r="R135" s="1">
        <v>-2429</v>
      </c>
      <c r="S135" s="1">
        <v>0</v>
      </c>
      <c r="T135" s="1">
        <v>0</v>
      </c>
      <c r="U135" s="1">
        <v>267971</v>
      </c>
      <c r="V135" s="1">
        <v>3638</v>
      </c>
      <c r="W135" s="1">
        <v>91711</v>
      </c>
      <c r="X135" s="1">
        <v>0</v>
      </c>
      <c r="Y135" s="1">
        <v>116323</v>
      </c>
      <c r="Z135" s="1">
        <v>5133</v>
      </c>
      <c r="AA135" s="1">
        <v>62318</v>
      </c>
      <c r="AB135" s="1">
        <v>1527</v>
      </c>
      <c r="AC135" s="1">
        <v>69198</v>
      </c>
      <c r="AD135" s="1">
        <v>-3468</v>
      </c>
      <c r="AE135" s="1">
        <f t="shared" si="10"/>
        <v>2383276</v>
      </c>
      <c r="AF135" s="9">
        <f t="shared" si="11"/>
        <v>7.3615477183507069E-2</v>
      </c>
      <c r="AG135" s="9">
        <f t="shared" si="12"/>
        <v>0</v>
      </c>
      <c r="AH135" s="9">
        <f t="shared" si="13"/>
        <v>3.2749039557315222E-2</v>
      </c>
      <c r="AI135" s="9">
        <f t="shared" si="14"/>
        <v>6.92785896387997E-3</v>
      </c>
      <c r="AJ135" s="1" t="str">
        <f>IF(VLOOKUP(A135,Hospital!A:C,3,FALSE)="H","Hospital","Freestanding")</f>
        <v>Freestanding</v>
      </c>
      <c r="AK135" s="1">
        <v>2024</v>
      </c>
    </row>
    <row r="136" spans="1:37">
      <c r="A136" s="1">
        <v>28003</v>
      </c>
      <c r="B136" s="1" t="s">
        <v>301</v>
      </c>
      <c r="C136" s="1">
        <v>117687</v>
      </c>
      <c r="D136" s="1">
        <v>6013</v>
      </c>
      <c r="E136" s="1">
        <v>39255</v>
      </c>
      <c r="F136" s="1">
        <v>0</v>
      </c>
      <c r="G136" s="1">
        <v>197911</v>
      </c>
      <c r="H136" s="1">
        <v>312213</v>
      </c>
      <c r="I136" s="1">
        <v>250989</v>
      </c>
      <c r="J136" s="1">
        <v>441234</v>
      </c>
      <c r="K136" s="1">
        <v>0</v>
      </c>
      <c r="L136" s="1">
        <v>53790</v>
      </c>
      <c r="M136" s="1">
        <v>0</v>
      </c>
      <c r="N136" s="1">
        <v>64448</v>
      </c>
      <c r="O136" s="1">
        <v>44886</v>
      </c>
      <c r="P136" s="1">
        <v>-1889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72788</v>
      </c>
      <c r="AB136" s="1">
        <v>0</v>
      </c>
      <c r="AC136" s="1">
        <v>155373</v>
      </c>
      <c r="AD136" s="1">
        <v>0</v>
      </c>
      <c r="AE136" s="1">
        <f t="shared" si="10"/>
        <v>1591743</v>
      </c>
      <c r="AF136" s="9">
        <f t="shared" si="11"/>
        <v>7.3935930611914114E-2</v>
      </c>
      <c r="AG136" s="9">
        <f t="shared" si="12"/>
        <v>3.7776198795911151E-3</v>
      </c>
      <c r="AH136" s="9">
        <f t="shared" si="13"/>
        <v>2.4661644499143393E-2</v>
      </c>
      <c r="AI136" s="9">
        <f t="shared" si="14"/>
        <v>0</v>
      </c>
      <c r="AJ136" s="1" t="str">
        <f>IF(VLOOKUP(A136,Hospital!A:C,3,FALSE)="H","Hospital","Freestanding")</f>
        <v>Freestanding</v>
      </c>
      <c r="AK136" s="1">
        <v>2024</v>
      </c>
    </row>
    <row r="137" spans="1:37">
      <c r="A137" s="1">
        <v>28004</v>
      </c>
      <c r="B137" s="1" t="s">
        <v>302</v>
      </c>
      <c r="C137" s="1">
        <v>143367</v>
      </c>
      <c r="D137" s="1">
        <v>2840</v>
      </c>
      <c r="E137" s="1">
        <v>4500</v>
      </c>
      <c r="F137" s="1">
        <v>169253</v>
      </c>
      <c r="G137" s="1">
        <v>373619</v>
      </c>
      <c r="H137" s="1">
        <v>204244</v>
      </c>
      <c r="I137" s="1">
        <v>132664</v>
      </c>
      <c r="J137" s="1">
        <v>438688</v>
      </c>
      <c r="K137" s="1">
        <v>89124</v>
      </c>
      <c r="L137" s="1">
        <v>43725</v>
      </c>
      <c r="M137" s="1">
        <v>0</v>
      </c>
      <c r="N137" s="1">
        <v>69594</v>
      </c>
      <c r="O137" s="1">
        <v>81272</v>
      </c>
      <c r="P137" s="1">
        <v>0</v>
      </c>
      <c r="Q137" s="1">
        <v>0</v>
      </c>
      <c r="R137" s="1">
        <v>5179</v>
      </c>
      <c r="S137" s="1">
        <v>0</v>
      </c>
      <c r="T137" s="1">
        <v>0</v>
      </c>
      <c r="U137" s="1">
        <v>232095</v>
      </c>
      <c r="V137" s="1">
        <v>-2147</v>
      </c>
      <c r="W137" s="1">
        <v>0</v>
      </c>
      <c r="X137" s="1">
        <v>0</v>
      </c>
      <c r="Y137" s="1">
        <v>132543</v>
      </c>
      <c r="Z137" s="1">
        <v>3551</v>
      </c>
      <c r="AA137" s="1">
        <v>86495</v>
      </c>
      <c r="AB137" s="1">
        <v>4865</v>
      </c>
      <c r="AC137" s="1">
        <v>99682</v>
      </c>
      <c r="AD137" s="1">
        <v>3279</v>
      </c>
      <c r="AE137" s="1">
        <f t="shared" si="10"/>
        <v>1998472</v>
      </c>
      <c r="AF137" s="9">
        <f t="shared" si="11"/>
        <v>7.1738308067363463E-2</v>
      </c>
      <c r="AG137" s="9">
        <f t="shared" si="12"/>
        <v>1.4210857094820442E-3</v>
      </c>
      <c r="AH137" s="9">
        <f t="shared" si="13"/>
        <v>2.2517203143201407E-3</v>
      </c>
      <c r="AI137" s="9">
        <f t="shared" si="14"/>
        <v>8.4691204079917051E-2</v>
      </c>
      <c r="AJ137" s="1" t="str">
        <f>IF(VLOOKUP(A137,Hospital!A:C,3,FALSE)="H","Hospital","Freestanding")</f>
        <v>Freestanding</v>
      </c>
      <c r="AK137" s="1">
        <v>2024</v>
      </c>
    </row>
    <row r="138" spans="1:37">
      <c r="A138" s="1">
        <v>29001</v>
      </c>
      <c r="B138" s="1" t="s">
        <v>303</v>
      </c>
      <c r="C138" s="1">
        <v>252149</v>
      </c>
      <c r="D138" s="1">
        <v>4923</v>
      </c>
      <c r="E138" s="1">
        <v>64179</v>
      </c>
      <c r="F138" s="1">
        <v>4801</v>
      </c>
      <c r="G138" s="1">
        <v>257124</v>
      </c>
      <c r="H138" s="1">
        <v>124063</v>
      </c>
      <c r="I138" s="1">
        <v>515661</v>
      </c>
      <c r="J138" s="1">
        <v>771037</v>
      </c>
      <c r="K138" s="1">
        <v>268407</v>
      </c>
      <c r="L138" s="1">
        <v>57853</v>
      </c>
      <c r="M138" s="1">
        <v>0</v>
      </c>
      <c r="N138" s="1">
        <v>66126</v>
      </c>
      <c r="O138" s="1">
        <v>149110</v>
      </c>
      <c r="P138" s="1">
        <v>0</v>
      </c>
      <c r="Q138" s="1">
        <v>0</v>
      </c>
      <c r="R138" s="1">
        <v>2500</v>
      </c>
      <c r="S138" s="1">
        <v>0</v>
      </c>
      <c r="T138" s="1">
        <v>0</v>
      </c>
      <c r="U138" s="1">
        <v>252201</v>
      </c>
      <c r="V138" s="1">
        <v>-2757</v>
      </c>
      <c r="W138" s="1">
        <v>159884</v>
      </c>
      <c r="X138" s="1">
        <v>-789</v>
      </c>
      <c r="Y138" s="1">
        <v>169029</v>
      </c>
      <c r="Z138" s="1">
        <v>2028</v>
      </c>
      <c r="AA138" s="1">
        <v>104840</v>
      </c>
      <c r="AB138" s="1">
        <v>-2733</v>
      </c>
      <c r="AC138" s="1">
        <v>267108</v>
      </c>
      <c r="AD138" s="1">
        <v>1771</v>
      </c>
      <c r="AE138" s="1">
        <f t="shared" si="10"/>
        <v>3162463</v>
      </c>
      <c r="AF138" s="9">
        <f t="shared" si="11"/>
        <v>7.9731841921945018E-2</v>
      </c>
      <c r="AG138" s="9">
        <f t="shared" si="12"/>
        <v>1.5566980546491769E-3</v>
      </c>
      <c r="AH138" s="9">
        <f t="shared" si="13"/>
        <v>2.0293992372400878E-2</v>
      </c>
      <c r="AI138" s="9">
        <f t="shared" si="14"/>
        <v>1.5181205282085513E-3</v>
      </c>
      <c r="AJ138" s="1" t="str">
        <f>IF(VLOOKUP(A138,Hospital!A:C,3,FALSE)="H","Hospital","Freestanding")</f>
        <v>Freestanding</v>
      </c>
      <c r="AK138" s="1">
        <v>2024</v>
      </c>
    </row>
    <row r="139" spans="1:37">
      <c r="A139" s="1">
        <v>30001</v>
      </c>
      <c r="B139" s="1" t="s">
        <v>304</v>
      </c>
      <c r="C139" s="1">
        <v>444776</v>
      </c>
      <c r="D139" s="1">
        <v>3795</v>
      </c>
      <c r="E139" s="1">
        <v>158970</v>
      </c>
      <c r="F139" s="1">
        <v>111250</v>
      </c>
      <c r="G139" s="1">
        <v>608357</v>
      </c>
      <c r="H139" s="1">
        <v>582091</v>
      </c>
      <c r="I139" s="1">
        <v>995927</v>
      </c>
      <c r="J139" s="1">
        <v>2199556</v>
      </c>
      <c r="K139" s="1">
        <v>388950</v>
      </c>
      <c r="L139" s="1">
        <v>273743</v>
      </c>
      <c r="M139" s="1">
        <v>0</v>
      </c>
      <c r="N139" s="1">
        <v>242843</v>
      </c>
      <c r="O139" s="1">
        <v>143884</v>
      </c>
      <c r="P139" s="1">
        <v>59629</v>
      </c>
      <c r="Q139" s="1">
        <v>0</v>
      </c>
      <c r="R139" s="1">
        <v>23097</v>
      </c>
      <c r="S139" s="1">
        <v>0</v>
      </c>
      <c r="T139" s="1">
        <v>0</v>
      </c>
      <c r="U139" s="1">
        <v>849657</v>
      </c>
      <c r="V139" s="1">
        <v>-4074</v>
      </c>
      <c r="W139" s="1">
        <v>85896</v>
      </c>
      <c r="X139" s="1">
        <v>-363</v>
      </c>
      <c r="Y139" s="1">
        <v>238456</v>
      </c>
      <c r="Z139" s="1">
        <v>2134</v>
      </c>
      <c r="AA139" s="1">
        <v>67841</v>
      </c>
      <c r="AB139" s="1">
        <v>313</v>
      </c>
      <c r="AC139" s="1">
        <v>432061</v>
      </c>
      <c r="AD139" s="1">
        <v>15923</v>
      </c>
      <c r="AE139" s="1">
        <f t="shared" si="10"/>
        <v>7205921</v>
      </c>
      <c r="AF139" s="9">
        <f t="shared" si="11"/>
        <v>6.1723685286030755E-2</v>
      </c>
      <c r="AG139" s="9">
        <f t="shared" si="12"/>
        <v>5.2665023665954703E-4</v>
      </c>
      <c r="AH139" s="9">
        <f t="shared" si="13"/>
        <v>2.2061024538015336E-2</v>
      </c>
      <c r="AI139" s="9">
        <f t="shared" si="14"/>
        <v>1.5438692708399107E-2</v>
      </c>
      <c r="AJ139" s="1" t="str">
        <f>IF(VLOOKUP(A139,Hospital!A:C,3,FALSE)="H","Hospital","Freestanding")</f>
        <v>Freestanding</v>
      </c>
      <c r="AK139" s="1">
        <v>2024</v>
      </c>
    </row>
    <row r="140" spans="1:37">
      <c r="A140" s="1">
        <v>31001</v>
      </c>
      <c r="B140" s="1" t="s">
        <v>305</v>
      </c>
      <c r="C140" s="1">
        <v>0</v>
      </c>
      <c r="D140" s="1">
        <v>0</v>
      </c>
      <c r="E140" s="1">
        <v>26819</v>
      </c>
      <c r="F140" s="1">
        <v>0</v>
      </c>
      <c r="G140" s="1">
        <v>230790</v>
      </c>
      <c r="H140" s="1">
        <v>424489</v>
      </c>
      <c r="I140" s="1">
        <v>165628</v>
      </c>
      <c r="J140" s="1">
        <v>403133</v>
      </c>
      <c r="K140" s="1">
        <v>0</v>
      </c>
      <c r="L140" s="1">
        <v>29984</v>
      </c>
      <c r="M140" s="1">
        <v>0</v>
      </c>
      <c r="N140" s="1">
        <v>48513</v>
      </c>
      <c r="O140" s="1">
        <v>62679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f t="shared" si="10"/>
        <v>1365216</v>
      </c>
      <c r="AF140" s="9">
        <f t="shared" si="11"/>
        <v>0</v>
      </c>
      <c r="AG140" s="9">
        <f t="shared" si="12"/>
        <v>0</v>
      </c>
      <c r="AH140" s="9">
        <f t="shared" si="13"/>
        <v>1.9644510465743149E-2</v>
      </c>
      <c r="AI140" s="9">
        <f t="shared" si="14"/>
        <v>0</v>
      </c>
      <c r="AJ140" s="1" t="str">
        <f>IF(VLOOKUP(A140,Hospital!A:C,3,FALSE)="H","Hospital","Freestanding")</f>
        <v>Hospital</v>
      </c>
      <c r="AK140" s="1">
        <v>2024</v>
      </c>
    </row>
    <row r="141" spans="1:37">
      <c r="A141" s="1">
        <v>31003</v>
      </c>
      <c r="B141" s="1" t="s">
        <v>306</v>
      </c>
      <c r="C141" s="1">
        <v>0</v>
      </c>
      <c r="D141" s="1">
        <v>0</v>
      </c>
      <c r="E141" s="1">
        <v>0</v>
      </c>
      <c r="F141" s="1">
        <v>0</v>
      </c>
      <c r="G141" s="1">
        <v>309900</v>
      </c>
      <c r="H141" s="1">
        <v>411445</v>
      </c>
      <c r="I141" s="1">
        <v>15127</v>
      </c>
      <c r="J141" s="1">
        <v>524443</v>
      </c>
      <c r="K141" s="1">
        <v>122387</v>
      </c>
      <c r="L141" s="1">
        <v>77037</v>
      </c>
      <c r="M141" s="1">
        <v>0</v>
      </c>
      <c r="N141" s="1">
        <v>64067</v>
      </c>
      <c r="O141" s="1">
        <v>95001</v>
      </c>
      <c r="P141" s="1">
        <v>8663</v>
      </c>
      <c r="Q141" s="1">
        <v>0</v>
      </c>
      <c r="R141" s="1">
        <v>-63410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f t="shared" si="10"/>
        <v>1564660</v>
      </c>
      <c r="AF141" s="9">
        <f t="shared" si="11"/>
        <v>0</v>
      </c>
      <c r="AG141" s="9">
        <f t="shared" si="12"/>
        <v>0</v>
      </c>
      <c r="AH141" s="9">
        <f t="shared" si="13"/>
        <v>0</v>
      </c>
      <c r="AI141" s="9">
        <f t="shared" si="14"/>
        <v>0</v>
      </c>
      <c r="AJ141" s="1" t="str">
        <f>IF(VLOOKUP(A141,Hospital!A:C,3,FALSE)="H","Hospital","Freestanding")</f>
        <v>Hospital</v>
      </c>
      <c r="AK141" s="1">
        <v>2024</v>
      </c>
    </row>
    <row r="142" spans="1:37">
      <c r="A142" s="1">
        <v>31004</v>
      </c>
      <c r="B142" s="1" t="s">
        <v>307</v>
      </c>
      <c r="C142" s="1">
        <v>210090</v>
      </c>
      <c r="D142" s="1">
        <v>17305</v>
      </c>
      <c r="E142" s="1">
        <v>107011</v>
      </c>
      <c r="F142" s="1">
        <v>8734</v>
      </c>
      <c r="G142" s="1">
        <v>349741</v>
      </c>
      <c r="H142" s="1">
        <v>412016</v>
      </c>
      <c r="I142" s="1">
        <v>281581</v>
      </c>
      <c r="J142" s="1">
        <v>752199</v>
      </c>
      <c r="K142" s="1">
        <v>187809</v>
      </c>
      <c r="L142" s="1">
        <v>59456</v>
      </c>
      <c r="M142" s="1">
        <v>0</v>
      </c>
      <c r="N142" s="1">
        <v>63505</v>
      </c>
      <c r="O142" s="1">
        <v>104713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188364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107148</v>
      </c>
      <c r="AB142" s="1">
        <v>0</v>
      </c>
      <c r="AC142" s="1">
        <v>235702</v>
      </c>
      <c r="AD142" s="1">
        <v>0</v>
      </c>
      <c r="AE142" s="1">
        <f t="shared" si="10"/>
        <v>2742234</v>
      </c>
      <c r="AF142" s="9">
        <f t="shared" si="11"/>
        <v>7.6612717951859685E-2</v>
      </c>
      <c r="AG142" s="9">
        <f t="shared" si="12"/>
        <v>6.310548261016383E-3</v>
      </c>
      <c r="AH142" s="9">
        <f t="shared" si="13"/>
        <v>3.9023292687640806E-2</v>
      </c>
      <c r="AI142" s="9">
        <f t="shared" si="14"/>
        <v>3.1849944242540937E-3</v>
      </c>
      <c r="AJ142" s="1" t="str">
        <f>IF(VLOOKUP(A142,Hospital!A:C,3,FALSE)="H","Hospital","Freestanding")</f>
        <v>Freestanding</v>
      </c>
      <c r="AK142" s="1">
        <v>2024</v>
      </c>
    </row>
    <row r="143" spans="1:37">
      <c r="A143" s="1">
        <v>31005</v>
      </c>
      <c r="B143" s="1" t="s">
        <v>308</v>
      </c>
      <c r="C143" s="1">
        <v>285006</v>
      </c>
      <c r="D143" s="1">
        <v>6495</v>
      </c>
      <c r="E143" s="1">
        <v>203469</v>
      </c>
      <c r="F143" s="1">
        <v>5029</v>
      </c>
      <c r="G143" s="1">
        <v>470760</v>
      </c>
      <c r="H143" s="1">
        <v>514688</v>
      </c>
      <c r="I143" s="1">
        <v>1001484</v>
      </c>
      <c r="J143" s="1">
        <v>1494267</v>
      </c>
      <c r="K143" s="1">
        <v>0</v>
      </c>
      <c r="L143" s="1">
        <v>143470</v>
      </c>
      <c r="M143" s="1">
        <v>0</v>
      </c>
      <c r="N143" s="1">
        <v>212227</v>
      </c>
      <c r="O143" s="1">
        <v>154693</v>
      </c>
      <c r="P143" s="1">
        <v>0</v>
      </c>
      <c r="Q143" s="1">
        <v>77781</v>
      </c>
      <c r="R143" s="1">
        <v>-40705</v>
      </c>
      <c r="S143" s="1">
        <v>0</v>
      </c>
      <c r="T143" s="1">
        <v>0</v>
      </c>
      <c r="U143" s="1">
        <v>518878</v>
      </c>
      <c r="V143" s="1">
        <v>13822</v>
      </c>
      <c r="W143" s="1">
        <v>0</v>
      </c>
      <c r="X143" s="1">
        <v>0</v>
      </c>
      <c r="Y143" s="1">
        <v>277200</v>
      </c>
      <c r="Z143" s="1">
        <v>-1283</v>
      </c>
      <c r="AA143" s="1">
        <v>94719</v>
      </c>
      <c r="AB143" s="1">
        <v>-3957</v>
      </c>
      <c r="AC143" s="1">
        <v>384596</v>
      </c>
      <c r="AD143" s="1">
        <v>-5172</v>
      </c>
      <c r="AE143" s="1">
        <f t="shared" si="10"/>
        <v>5307468</v>
      </c>
      <c r="AF143" s="9">
        <f t="shared" si="11"/>
        <v>5.3699051977327043E-2</v>
      </c>
      <c r="AG143" s="9">
        <f t="shared" si="12"/>
        <v>1.2237473688018468E-3</v>
      </c>
      <c r="AH143" s="9">
        <f t="shared" si="13"/>
        <v>3.8336359258313003E-2</v>
      </c>
      <c r="AI143" s="9">
        <f t="shared" si="14"/>
        <v>9.475327971831389E-4</v>
      </c>
      <c r="AJ143" s="1" t="str">
        <f>IF(VLOOKUP(A143,Hospital!A:C,3,FALSE)="H","Hospital","Freestanding")</f>
        <v>Freestanding</v>
      </c>
      <c r="AK143" s="1">
        <v>2024</v>
      </c>
    </row>
    <row r="144" spans="1:37">
      <c r="A144" s="1">
        <v>32001</v>
      </c>
      <c r="B144" s="1" t="s">
        <v>309</v>
      </c>
      <c r="C144" s="1">
        <v>132712</v>
      </c>
      <c r="D144" s="1">
        <v>25336</v>
      </c>
      <c r="E144" s="1">
        <v>30656</v>
      </c>
      <c r="F144" s="1">
        <v>22971</v>
      </c>
      <c r="G144" s="1">
        <v>150691</v>
      </c>
      <c r="H144" s="1">
        <v>254381</v>
      </c>
      <c r="I144" s="1">
        <v>95999</v>
      </c>
      <c r="J144" s="1">
        <v>688383</v>
      </c>
      <c r="K144" s="1">
        <v>109756</v>
      </c>
      <c r="L144" s="1">
        <v>0</v>
      </c>
      <c r="M144" s="1">
        <v>0</v>
      </c>
      <c r="N144" s="1">
        <v>46248</v>
      </c>
      <c r="O144" s="1">
        <v>106022</v>
      </c>
      <c r="P144" s="1">
        <v>0</v>
      </c>
      <c r="Q144" s="1">
        <v>0</v>
      </c>
      <c r="R144" s="1">
        <v>-18372</v>
      </c>
      <c r="S144" s="1">
        <v>0</v>
      </c>
      <c r="T144" s="1">
        <v>0</v>
      </c>
      <c r="U144" s="1">
        <v>232104</v>
      </c>
      <c r="V144" s="1">
        <v>5078</v>
      </c>
      <c r="W144" s="1">
        <v>38277</v>
      </c>
      <c r="X144" s="1">
        <v>-519</v>
      </c>
      <c r="Y144" s="1">
        <v>47948</v>
      </c>
      <c r="Z144" s="1">
        <v>702</v>
      </c>
      <c r="AA144" s="1">
        <v>47735</v>
      </c>
      <c r="AB144" s="1">
        <v>67</v>
      </c>
      <c r="AC144" s="1">
        <v>142712</v>
      </c>
      <c r="AD144" s="1">
        <v>626</v>
      </c>
      <c r="AE144" s="1">
        <f t="shared" si="10"/>
        <v>1947838</v>
      </c>
      <c r="AF144" s="9">
        <f t="shared" si="11"/>
        <v>6.8132976150994076E-2</v>
      </c>
      <c r="AG144" s="9">
        <f t="shared" si="12"/>
        <v>1.300724187535103E-2</v>
      </c>
      <c r="AH144" s="9">
        <f t="shared" si="13"/>
        <v>1.5738475170933106E-2</v>
      </c>
      <c r="AI144" s="9">
        <f t="shared" si="14"/>
        <v>1.1793075194138322E-2</v>
      </c>
      <c r="AJ144" s="1" t="str">
        <f>IF(VLOOKUP(A144,Hospital!A:C,3,FALSE)="H","Hospital","Freestanding")</f>
        <v>Freestanding</v>
      </c>
      <c r="AK144" s="1">
        <v>2024</v>
      </c>
    </row>
    <row r="145" spans="1:37">
      <c r="A145" s="1">
        <v>32003</v>
      </c>
      <c r="B145" s="1" t="s">
        <v>310</v>
      </c>
      <c r="C145" s="1">
        <v>194262</v>
      </c>
      <c r="D145" s="1">
        <v>0</v>
      </c>
      <c r="E145" s="1">
        <v>68550</v>
      </c>
      <c r="F145" s="1">
        <v>100938</v>
      </c>
      <c r="G145" s="1">
        <v>86196</v>
      </c>
      <c r="H145" s="1">
        <v>371624</v>
      </c>
      <c r="I145" s="1">
        <v>373345</v>
      </c>
      <c r="J145" s="1">
        <v>839865</v>
      </c>
      <c r="K145" s="1">
        <v>65788</v>
      </c>
      <c r="L145" s="1">
        <v>32349</v>
      </c>
      <c r="M145" s="1">
        <v>0</v>
      </c>
      <c r="N145" s="1">
        <v>35447</v>
      </c>
      <c r="O145" s="1">
        <v>64319</v>
      </c>
      <c r="P145" s="1">
        <v>0</v>
      </c>
      <c r="Q145" s="1">
        <v>0</v>
      </c>
      <c r="R145" s="1">
        <v>-15495</v>
      </c>
      <c r="S145" s="1">
        <v>0</v>
      </c>
      <c r="T145" s="1">
        <v>0</v>
      </c>
      <c r="U145" s="1">
        <v>189196</v>
      </c>
      <c r="V145" s="1">
        <v>4308</v>
      </c>
      <c r="W145" s="1">
        <v>45005</v>
      </c>
      <c r="X145" s="1">
        <v>-230</v>
      </c>
      <c r="Y145" s="1">
        <v>64085</v>
      </c>
      <c r="Z145" s="1">
        <v>-2506</v>
      </c>
      <c r="AA145" s="1">
        <v>128520</v>
      </c>
      <c r="AB145" s="1">
        <v>416</v>
      </c>
      <c r="AC145" s="1">
        <v>191793</v>
      </c>
      <c r="AD145" s="1">
        <v>-88</v>
      </c>
      <c r="AE145" s="1">
        <f t="shared" si="10"/>
        <v>2473937</v>
      </c>
      <c r="AF145" s="9">
        <f t="shared" si="11"/>
        <v>7.8523422383027536E-2</v>
      </c>
      <c r="AG145" s="9">
        <f t="shared" si="12"/>
        <v>0</v>
      </c>
      <c r="AH145" s="9">
        <f t="shared" si="13"/>
        <v>2.7708870516912922E-2</v>
      </c>
      <c r="AI145" s="9">
        <f t="shared" si="14"/>
        <v>4.0800553934881932E-2</v>
      </c>
      <c r="AJ145" s="1" t="str">
        <f>IF(VLOOKUP(A145,Hospital!A:C,3,FALSE)="H","Hospital","Freestanding")</f>
        <v>Freestanding</v>
      </c>
      <c r="AK145" s="1">
        <v>2024</v>
      </c>
    </row>
    <row r="146" spans="1:37">
      <c r="A146" s="1">
        <v>33001</v>
      </c>
      <c r="B146" s="1" t="s">
        <v>311</v>
      </c>
      <c r="C146" s="1">
        <v>285828</v>
      </c>
      <c r="D146" s="1">
        <v>4275</v>
      </c>
      <c r="E146" s="1">
        <v>116495</v>
      </c>
      <c r="F146" s="1">
        <v>40191</v>
      </c>
      <c r="G146" s="1">
        <v>435380</v>
      </c>
      <c r="H146" s="1">
        <v>285793</v>
      </c>
      <c r="I146" s="1">
        <v>459522</v>
      </c>
      <c r="J146" s="1">
        <v>886330</v>
      </c>
      <c r="K146" s="1">
        <v>102736</v>
      </c>
      <c r="L146" s="1">
        <v>73366</v>
      </c>
      <c r="M146" s="1">
        <v>0</v>
      </c>
      <c r="N146" s="1">
        <v>65512</v>
      </c>
      <c r="O146" s="1">
        <v>237148</v>
      </c>
      <c r="P146" s="1">
        <v>0</v>
      </c>
      <c r="Q146" s="1">
        <v>39504</v>
      </c>
      <c r="R146" s="1">
        <v>0</v>
      </c>
      <c r="S146" s="1">
        <v>0</v>
      </c>
      <c r="T146" s="1">
        <v>0</v>
      </c>
      <c r="U146" s="1">
        <v>215297</v>
      </c>
      <c r="V146" s="1">
        <v>0</v>
      </c>
      <c r="W146" s="1">
        <v>41086</v>
      </c>
      <c r="X146" s="1">
        <v>0</v>
      </c>
      <c r="Y146" s="1">
        <v>121911</v>
      </c>
      <c r="Z146" s="1">
        <v>0</v>
      </c>
      <c r="AA146" s="1">
        <v>104292</v>
      </c>
      <c r="AB146" s="1">
        <v>0</v>
      </c>
      <c r="AC146" s="1">
        <v>212617</v>
      </c>
      <c r="AD146" s="1">
        <v>0</v>
      </c>
      <c r="AE146" s="1">
        <f t="shared" si="10"/>
        <v>3280494</v>
      </c>
      <c r="AF146" s="9">
        <f t="shared" si="11"/>
        <v>8.7129560364993808E-2</v>
      </c>
      <c r="AG146" s="9">
        <f t="shared" si="12"/>
        <v>1.3031573903198727E-3</v>
      </c>
      <c r="AH146" s="9">
        <f t="shared" si="13"/>
        <v>3.5511419926389134E-2</v>
      </c>
      <c r="AI146" s="9">
        <f t="shared" si="14"/>
        <v>1.2251508461835321E-2</v>
      </c>
      <c r="AJ146" s="1" t="str">
        <f>IF(VLOOKUP(A146,Hospital!A:C,3,FALSE)="H","Hospital","Freestanding")</f>
        <v>Freestanding</v>
      </c>
      <c r="AK146" s="1">
        <v>2024</v>
      </c>
    </row>
    <row r="147" spans="1:37">
      <c r="A147" s="1">
        <v>34001</v>
      </c>
      <c r="B147" s="1" t="s">
        <v>312</v>
      </c>
      <c r="C147" s="1">
        <v>1382091</v>
      </c>
      <c r="D147" s="1">
        <v>0</v>
      </c>
      <c r="E147" s="1">
        <v>222345</v>
      </c>
      <c r="F147" s="1">
        <v>227594</v>
      </c>
      <c r="G147" s="1">
        <v>824697</v>
      </c>
      <c r="H147" s="1">
        <v>2149341</v>
      </c>
      <c r="I147" s="1">
        <v>2171409</v>
      </c>
      <c r="J147" s="1">
        <v>5895234</v>
      </c>
      <c r="K147" s="1">
        <v>1131335</v>
      </c>
      <c r="L147" s="1">
        <v>597192</v>
      </c>
      <c r="M147" s="1">
        <v>0</v>
      </c>
      <c r="N147" s="1">
        <v>494058</v>
      </c>
      <c r="O147" s="1">
        <v>1088810</v>
      </c>
      <c r="P147" s="1">
        <v>115463</v>
      </c>
      <c r="Q147" s="1">
        <v>0</v>
      </c>
      <c r="R147" s="1">
        <v>-25875</v>
      </c>
      <c r="S147" s="1">
        <v>0</v>
      </c>
      <c r="T147" s="1">
        <v>0</v>
      </c>
      <c r="U147" s="1">
        <v>1117668</v>
      </c>
      <c r="V147" s="1">
        <v>-4683</v>
      </c>
      <c r="W147" s="1">
        <v>333586</v>
      </c>
      <c r="X147" s="1">
        <v>-28</v>
      </c>
      <c r="Y147" s="1">
        <v>520502</v>
      </c>
      <c r="Z147" s="1">
        <v>1977</v>
      </c>
      <c r="AA147" s="1">
        <v>260286</v>
      </c>
      <c r="AB147" s="1">
        <v>-7386</v>
      </c>
      <c r="AC147" s="1">
        <v>1501765</v>
      </c>
      <c r="AD147" s="1">
        <v>-38134</v>
      </c>
      <c r="AE147" s="1">
        <f t="shared" si="10"/>
        <v>18127217</v>
      </c>
      <c r="AF147" s="9">
        <f t="shared" si="11"/>
        <v>7.6243970599568597E-2</v>
      </c>
      <c r="AG147" s="9">
        <f t="shared" si="12"/>
        <v>0</v>
      </c>
      <c r="AH147" s="9">
        <f t="shared" si="13"/>
        <v>1.2265810024782072E-2</v>
      </c>
      <c r="AI147" s="9">
        <f t="shared" si="14"/>
        <v>1.2555374606041291E-2</v>
      </c>
      <c r="AJ147" s="1" t="str">
        <f>IF(VLOOKUP(A147,Hospital!A:C,3,FALSE)="H","Hospital","Freestanding")</f>
        <v>Freestanding</v>
      </c>
      <c r="AK147" s="1">
        <v>2024</v>
      </c>
    </row>
    <row r="148" spans="1:37">
      <c r="A148" s="1">
        <v>34003</v>
      </c>
      <c r="B148" s="1" t="s">
        <v>313</v>
      </c>
      <c r="C148" s="1">
        <v>194959</v>
      </c>
      <c r="D148" s="1">
        <v>14420</v>
      </c>
      <c r="E148" s="1">
        <v>27696</v>
      </c>
      <c r="F148" s="1">
        <v>0</v>
      </c>
      <c r="G148" s="1">
        <v>275132</v>
      </c>
      <c r="H148" s="1">
        <v>92046</v>
      </c>
      <c r="I148" s="1">
        <v>458491</v>
      </c>
      <c r="J148" s="1">
        <v>575082</v>
      </c>
      <c r="K148" s="1">
        <v>545135</v>
      </c>
      <c r="L148" s="1">
        <v>0</v>
      </c>
      <c r="M148" s="1">
        <v>0</v>
      </c>
      <c r="N148" s="1">
        <v>60122</v>
      </c>
      <c r="O148" s="1">
        <v>36536</v>
      </c>
      <c r="P148" s="1">
        <v>33737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106892</v>
      </c>
      <c r="Z148" s="1">
        <v>0</v>
      </c>
      <c r="AA148" s="1">
        <v>41681</v>
      </c>
      <c r="AB148" s="1">
        <v>0</v>
      </c>
      <c r="AC148" s="1">
        <v>316616</v>
      </c>
      <c r="AD148" s="1">
        <v>0</v>
      </c>
      <c r="AE148" s="1">
        <f t="shared" si="10"/>
        <v>2541470</v>
      </c>
      <c r="AF148" s="9">
        <f t="shared" si="11"/>
        <v>7.6711116007664851E-2</v>
      </c>
      <c r="AG148" s="9">
        <f t="shared" si="12"/>
        <v>5.6738816511703854E-3</v>
      </c>
      <c r="AH148" s="9">
        <f t="shared" si="13"/>
        <v>1.0897630111707005E-2</v>
      </c>
      <c r="AI148" s="9">
        <f t="shared" si="14"/>
        <v>0</v>
      </c>
      <c r="AJ148" s="1" t="str">
        <f>IF(VLOOKUP(A148,Hospital!A:C,3,FALSE)="H","Hospital","Freestanding")</f>
        <v>Freestanding</v>
      </c>
      <c r="AK148" s="1">
        <v>2024</v>
      </c>
    </row>
    <row r="149" spans="1:37">
      <c r="A149" s="1">
        <v>34004</v>
      </c>
      <c r="B149" s="1" t="s">
        <v>314</v>
      </c>
      <c r="C149" s="1">
        <v>351747</v>
      </c>
      <c r="D149" s="1">
        <v>93598</v>
      </c>
      <c r="E149" s="1">
        <v>50714</v>
      </c>
      <c r="F149" s="1">
        <v>79516</v>
      </c>
      <c r="G149" s="1">
        <v>306046</v>
      </c>
      <c r="H149" s="1">
        <v>1152478</v>
      </c>
      <c r="I149" s="1">
        <v>438398</v>
      </c>
      <c r="J149" s="1">
        <v>2147186</v>
      </c>
      <c r="K149" s="1">
        <v>7015</v>
      </c>
      <c r="L149" s="1">
        <v>156585</v>
      </c>
      <c r="M149" s="1">
        <v>0</v>
      </c>
      <c r="N149" s="1">
        <v>116578</v>
      </c>
      <c r="O149" s="1">
        <v>200428</v>
      </c>
      <c r="P149" s="1">
        <v>0</v>
      </c>
      <c r="Q149" s="1">
        <v>0</v>
      </c>
      <c r="R149" s="1">
        <v>-12681</v>
      </c>
      <c r="S149" s="1">
        <v>0</v>
      </c>
      <c r="T149" s="1">
        <v>0</v>
      </c>
      <c r="U149" s="1">
        <v>390992</v>
      </c>
      <c r="V149" s="1">
        <v>0</v>
      </c>
      <c r="W149" s="1">
        <v>67907</v>
      </c>
      <c r="X149" s="1">
        <v>-547</v>
      </c>
      <c r="Y149" s="1">
        <v>128551</v>
      </c>
      <c r="Z149" s="1">
        <v>1596</v>
      </c>
      <c r="AA149" s="1">
        <v>57837</v>
      </c>
      <c r="AB149" s="1">
        <v>313</v>
      </c>
      <c r="AC149" s="1">
        <v>233515</v>
      </c>
      <c r="AD149" s="1">
        <v>3141</v>
      </c>
      <c r="AE149" s="1">
        <f t="shared" si="10"/>
        <v>5395338</v>
      </c>
      <c r="AF149" s="9">
        <f t="shared" si="11"/>
        <v>6.5194618020224124E-2</v>
      </c>
      <c r="AG149" s="9">
        <f t="shared" si="12"/>
        <v>1.7347940017845037E-2</v>
      </c>
      <c r="AH149" s="9">
        <f t="shared" si="13"/>
        <v>9.3995964664308328E-3</v>
      </c>
      <c r="AI149" s="9">
        <f t="shared" si="14"/>
        <v>1.4737908913213593E-2</v>
      </c>
      <c r="AJ149" s="1" t="str">
        <f>IF(VLOOKUP(A149,Hospital!A:C,3,FALSE)="H","Hospital","Freestanding")</f>
        <v>Hospital</v>
      </c>
      <c r="AK149" s="1">
        <v>2024</v>
      </c>
    </row>
    <row r="150" spans="1:37">
      <c r="A150" s="1">
        <v>35001</v>
      </c>
      <c r="B150" s="1" t="s">
        <v>315</v>
      </c>
      <c r="C150" s="1">
        <v>0</v>
      </c>
      <c r="D150" s="1">
        <v>0</v>
      </c>
      <c r="E150" s="1">
        <v>0</v>
      </c>
      <c r="F150" s="1">
        <v>0</v>
      </c>
      <c r="G150" s="1">
        <v>90715</v>
      </c>
      <c r="H150" s="1">
        <v>154408</v>
      </c>
      <c r="I150" s="1">
        <v>298895</v>
      </c>
      <c r="J150" s="1">
        <v>209301</v>
      </c>
      <c r="K150" s="1">
        <v>0</v>
      </c>
      <c r="L150" s="1">
        <v>44224</v>
      </c>
      <c r="M150" s="1">
        <v>0</v>
      </c>
      <c r="N150" s="1">
        <v>52315</v>
      </c>
      <c r="O150" s="1">
        <v>118578</v>
      </c>
      <c r="P150" s="1">
        <v>0</v>
      </c>
      <c r="Q150" s="1">
        <v>0</v>
      </c>
      <c r="R150" s="1">
        <v>-3594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f t="shared" si="10"/>
        <v>964842</v>
      </c>
      <c r="AF150" s="9">
        <f t="shared" si="11"/>
        <v>0</v>
      </c>
      <c r="AG150" s="9">
        <f t="shared" si="12"/>
        <v>0</v>
      </c>
      <c r="AH150" s="9">
        <f t="shared" si="13"/>
        <v>0</v>
      </c>
      <c r="AI150" s="9">
        <f t="shared" si="14"/>
        <v>0</v>
      </c>
      <c r="AJ150" s="1" t="str">
        <f>IF(VLOOKUP(A150,Hospital!A:C,3,FALSE)="H","Hospital","Freestanding")</f>
        <v>Hospital</v>
      </c>
      <c r="AK150" s="1">
        <v>2024</v>
      </c>
    </row>
    <row r="151" spans="1:37">
      <c r="A151" s="1">
        <v>35002</v>
      </c>
      <c r="B151" s="1" t="s">
        <v>316</v>
      </c>
      <c r="C151" s="1">
        <v>118642</v>
      </c>
      <c r="D151" s="1">
        <v>-3742</v>
      </c>
      <c r="E151" s="1">
        <v>56551</v>
      </c>
      <c r="F151" s="1">
        <v>0</v>
      </c>
      <c r="G151" s="1">
        <v>208804</v>
      </c>
      <c r="H151" s="1">
        <v>309311</v>
      </c>
      <c r="I151" s="1">
        <v>74759</v>
      </c>
      <c r="J151" s="1">
        <v>428696</v>
      </c>
      <c r="K151" s="1">
        <v>110155</v>
      </c>
      <c r="L151" s="1">
        <v>0</v>
      </c>
      <c r="M151" s="1">
        <v>0</v>
      </c>
      <c r="N151" s="1">
        <v>63656</v>
      </c>
      <c r="O151" s="1">
        <v>50395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136652</v>
      </c>
      <c r="V151" s="1">
        <v>0</v>
      </c>
      <c r="W151" s="1">
        <v>36986</v>
      </c>
      <c r="X151" s="1">
        <v>0</v>
      </c>
      <c r="Y151" s="1">
        <v>30013</v>
      </c>
      <c r="Z151" s="1">
        <v>0</v>
      </c>
      <c r="AA151" s="1">
        <v>51390</v>
      </c>
      <c r="AB151" s="1">
        <v>0</v>
      </c>
      <c r="AC151" s="1">
        <v>109857</v>
      </c>
      <c r="AD151" s="1">
        <v>0</v>
      </c>
      <c r="AE151" s="1">
        <f t="shared" si="10"/>
        <v>1610674</v>
      </c>
      <c r="AF151" s="9">
        <f t="shared" si="11"/>
        <v>7.3659846747386501E-2</v>
      </c>
      <c r="AG151" s="9">
        <f t="shared" si="12"/>
        <v>-2.3232510116882746E-3</v>
      </c>
      <c r="AH151" s="9">
        <f t="shared" si="13"/>
        <v>3.5110146435591558E-2</v>
      </c>
      <c r="AI151" s="9">
        <f t="shared" si="14"/>
        <v>0</v>
      </c>
      <c r="AJ151" s="1" t="str">
        <f>IF(VLOOKUP(A151,Hospital!A:C,3,FALSE)="H","Hospital","Freestanding")</f>
        <v>Freestanding</v>
      </c>
      <c r="AK151" s="1">
        <v>2024</v>
      </c>
    </row>
    <row r="152" spans="1:37">
      <c r="A152" s="1">
        <v>36002</v>
      </c>
      <c r="B152" s="1" t="s">
        <v>317</v>
      </c>
      <c r="C152" s="1">
        <v>275443</v>
      </c>
      <c r="D152" s="1">
        <v>0</v>
      </c>
      <c r="E152" s="1">
        <v>24926</v>
      </c>
      <c r="F152" s="1">
        <v>123060</v>
      </c>
      <c r="G152" s="1">
        <v>517570</v>
      </c>
      <c r="H152" s="1">
        <v>349280</v>
      </c>
      <c r="I152" s="1">
        <v>508083</v>
      </c>
      <c r="J152" s="1">
        <v>994826</v>
      </c>
      <c r="K152" s="1">
        <v>234963</v>
      </c>
      <c r="L152" s="1">
        <v>57025</v>
      </c>
      <c r="M152" s="1">
        <v>0</v>
      </c>
      <c r="N152" s="1">
        <v>72051</v>
      </c>
      <c r="O152" s="1">
        <v>113211</v>
      </c>
      <c r="P152" s="1">
        <v>0</v>
      </c>
      <c r="Q152" s="1">
        <v>0</v>
      </c>
      <c r="R152" s="1">
        <v>24116</v>
      </c>
      <c r="S152" s="1">
        <v>0</v>
      </c>
      <c r="T152" s="1">
        <v>0</v>
      </c>
      <c r="U152" s="1">
        <v>307438</v>
      </c>
      <c r="V152" s="1">
        <v>5816</v>
      </c>
      <c r="W152" s="1">
        <v>28053</v>
      </c>
      <c r="X152" s="1">
        <v>27</v>
      </c>
      <c r="Y152" s="1">
        <v>30095</v>
      </c>
      <c r="Z152" s="1">
        <v>-433</v>
      </c>
      <c r="AA152" s="1">
        <v>104486</v>
      </c>
      <c r="AB152" s="1">
        <v>-126</v>
      </c>
      <c r="AC152" s="1">
        <v>238452</v>
      </c>
      <c r="AD152" s="1">
        <v>170</v>
      </c>
      <c r="AE152" s="1">
        <f t="shared" si="10"/>
        <v>3585103</v>
      </c>
      <c r="AF152" s="9">
        <f t="shared" si="11"/>
        <v>7.6829870717800855E-2</v>
      </c>
      <c r="AG152" s="9">
        <f t="shared" si="12"/>
        <v>0</v>
      </c>
      <c r="AH152" s="9">
        <f t="shared" si="13"/>
        <v>6.9526593796607793E-3</v>
      </c>
      <c r="AI152" s="9">
        <f t="shared" si="14"/>
        <v>3.4325373636405983E-2</v>
      </c>
      <c r="AJ152" s="1" t="str">
        <f>IF(VLOOKUP(A152,Hospital!A:C,3,FALSE)="H","Hospital","Freestanding")</f>
        <v>Freestanding</v>
      </c>
      <c r="AK152" s="1">
        <v>2024</v>
      </c>
    </row>
    <row r="153" spans="1:37">
      <c r="A153" s="1">
        <v>36003</v>
      </c>
      <c r="B153" s="1" t="s">
        <v>318</v>
      </c>
      <c r="C153" s="1">
        <v>202515</v>
      </c>
      <c r="D153" s="1">
        <v>603</v>
      </c>
      <c r="E153" s="1">
        <v>50602</v>
      </c>
      <c r="F153" s="1">
        <v>84379</v>
      </c>
      <c r="G153" s="1">
        <v>231436</v>
      </c>
      <c r="H153" s="1">
        <v>376045</v>
      </c>
      <c r="I153" s="1">
        <v>287745</v>
      </c>
      <c r="J153" s="1">
        <v>772981</v>
      </c>
      <c r="K153" s="1">
        <v>149960</v>
      </c>
      <c r="L153" s="1">
        <v>30078</v>
      </c>
      <c r="M153" s="1">
        <v>0</v>
      </c>
      <c r="N153" s="1">
        <v>56027</v>
      </c>
      <c r="O153" s="1">
        <v>106968</v>
      </c>
      <c r="P153" s="1">
        <v>0</v>
      </c>
      <c r="Q153" s="1">
        <v>110</v>
      </c>
      <c r="R153" s="1">
        <v>4101</v>
      </c>
      <c r="S153" s="1">
        <v>0</v>
      </c>
      <c r="T153" s="1">
        <v>0</v>
      </c>
      <c r="U153" s="1">
        <v>277450</v>
      </c>
      <c r="V153" s="1">
        <v>5261</v>
      </c>
      <c r="W153" s="1">
        <v>68157</v>
      </c>
      <c r="X153" s="1">
        <v>-8</v>
      </c>
      <c r="Y153" s="1">
        <v>109111</v>
      </c>
      <c r="Z153" s="1">
        <v>-243</v>
      </c>
      <c r="AA153" s="1">
        <v>60470</v>
      </c>
      <c r="AB153" s="1">
        <v>2016</v>
      </c>
      <c r="AC153" s="1">
        <v>137755</v>
      </c>
      <c r="AD153" s="1">
        <v>1683</v>
      </c>
      <c r="AE153" s="1">
        <f t="shared" si="10"/>
        <v>2677103</v>
      </c>
      <c r="AF153" s="9">
        <f t="shared" si="11"/>
        <v>7.5647070732803329E-2</v>
      </c>
      <c r="AG153" s="9">
        <f t="shared" si="12"/>
        <v>2.2524348147979364E-4</v>
      </c>
      <c r="AH153" s="9">
        <f t="shared" si="13"/>
        <v>1.8901775538707328E-2</v>
      </c>
      <c r="AI153" s="9">
        <f t="shared" si="14"/>
        <v>3.1518772344582932E-2</v>
      </c>
      <c r="AJ153" s="1" t="str">
        <f>IF(VLOOKUP(A153,Hospital!A:C,3,FALSE)="H","Hospital","Freestanding")</f>
        <v>Freestanding</v>
      </c>
      <c r="AK153" s="1">
        <v>2024</v>
      </c>
    </row>
    <row r="154" spans="1:37">
      <c r="A154" s="1">
        <v>37001</v>
      </c>
      <c r="B154" s="1" t="s">
        <v>319</v>
      </c>
      <c r="C154" s="1">
        <v>239184</v>
      </c>
      <c r="D154" s="1">
        <v>598</v>
      </c>
      <c r="E154" s="1">
        <v>88196</v>
      </c>
      <c r="F154" s="1">
        <v>40777</v>
      </c>
      <c r="G154" s="1">
        <v>297582</v>
      </c>
      <c r="H154" s="1">
        <v>99836</v>
      </c>
      <c r="I154" s="1">
        <v>282190</v>
      </c>
      <c r="J154" s="1">
        <v>570741</v>
      </c>
      <c r="K154" s="1">
        <v>471349</v>
      </c>
      <c r="L154" s="1">
        <v>0</v>
      </c>
      <c r="M154" s="1">
        <v>0</v>
      </c>
      <c r="N154" s="1">
        <v>60292</v>
      </c>
      <c r="O154" s="1">
        <v>122752</v>
      </c>
      <c r="P154" s="1">
        <v>76209</v>
      </c>
      <c r="Q154" s="1">
        <v>0</v>
      </c>
      <c r="R154" s="1">
        <v>0</v>
      </c>
      <c r="S154" s="1">
        <v>0</v>
      </c>
      <c r="T154" s="1">
        <v>0</v>
      </c>
      <c r="U154" s="1">
        <v>420225</v>
      </c>
      <c r="V154" s="1">
        <v>1118</v>
      </c>
      <c r="W154" s="1">
        <v>84757</v>
      </c>
      <c r="X154" s="1">
        <v>0</v>
      </c>
      <c r="Y154" s="1">
        <v>150281</v>
      </c>
      <c r="Z154" s="1">
        <v>8879</v>
      </c>
      <c r="AA154" s="1">
        <v>170846</v>
      </c>
      <c r="AB154" s="1">
        <v>-7275</v>
      </c>
      <c r="AC154" s="1">
        <v>247330</v>
      </c>
      <c r="AD154" s="1">
        <v>1896</v>
      </c>
      <c r="AE154" s="1">
        <f t="shared" si="10"/>
        <v>3059008</v>
      </c>
      <c r="AF154" s="9">
        <f t="shared" si="11"/>
        <v>7.8190053769065002E-2</v>
      </c>
      <c r="AG154" s="9">
        <f t="shared" si="12"/>
        <v>1.9548821055714793E-4</v>
      </c>
      <c r="AH154" s="9">
        <f t="shared" si="13"/>
        <v>2.8831568926920098E-2</v>
      </c>
      <c r="AI154" s="9">
        <f t="shared" si="14"/>
        <v>1.3330138397807393E-2</v>
      </c>
      <c r="AJ154" s="1" t="str">
        <f>IF(VLOOKUP(A154,Hospital!A:C,3,FALSE)="H","Hospital","Freestanding")</f>
        <v>Freestanding</v>
      </c>
      <c r="AK154" s="1">
        <v>2024</v>
      </c>
    </row>
    <row r="155" spans="1:37">
      <c r="A155" s="1">
        <v>37002</v>
      </c>
      <c r="B155" s="1" t="s">
        <v>320</v>
      </c>
      <c r="C155" s="1">
        <v>0</v>
      </c>
      <c r="D155" s="1">
        <v>0</v>
      </c>
      <c r="E155" s="1">
        <v>0</v>
      </c>
      <c r="F155" s="1">
        <v>0</v>
      </c>
      <c r="G155" s="1">
        <v>345315</v>
      </c>
      <c r="H155" s="1">
        <v>215874</v>
      </c>
      <c r="I155" s="1">
        <v>413776</v>
      </c>
      <c r="J155" s="1">
        <v>634436</v>
      </c>
      <c r="K155" s="1">
        <v>182767</v>
      </c>
      <c r="L155" s="1">
        <v>35445</v>
      </c>
      <c r="M155" s="1">
        <v>0</v>
      </c>
      <c r="N155" s="1">
        <v>75021</v>
      </c>
      <c r="O155" s="1">
        <v>184012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f t="shared" si="10"/>
        <v>2086646</v>
      </c>
      <c r="AF155" s="9">
        <f t="shared" si="11"/>
        <v>0</v>
      </c>
      <c r="AG155" s="9">
        <f t="shared" si="12"/>
        <v>0</v>
      </c>
      <c r="AH155" s="9">
        <f t="shared" si="13"/>
        <v>0</v>
      </c>
      <c r="AI155" s="9">
        <f t="shared" si="14"/>
        <v>0</v>
      </c>
      <c r="AJ155" s="1" t="str">
        <f>IF(VLOOKUP(A155,Hospital!A:C,3,FALSE)="H","Hospital","Freestanding")</f>
        <v>Hospital</v>
      </c>
      <c r="AK155" s="1">
        <v>2024</v>
      </c>
    </row>
    <row r="156" spans="1:37">
      <c r="A156" s="1">
        <v>38002</v>
      </c>
      <c r="B156" s="1" t="s">
        <v>321</v>
      </c>
      <c r="C156" s="1">
        <v>125088</v>
      </c>
      <c r="D156" s="1">
        <v>8253</v>
      </c>
      <c r="E156" s="1">
        <v>100741</v>
      </c>
      <c r="F156" s="1">
        <v>13964</v>
      </c>
      <c r="G156" s="1">
        <v>173625</v>
      </c>
      <c r="H156" s="1">
        <v>302768</v>
      </c>
      <c r="I156" s="1">
        <v>109689</v>
      </c>
      <c r="J156" s="1">
        <v>463805</v>
      </c>
      <c r="K156" s="1">
        <v>114465</v>
      </c>
      <c r="L156" s="1">
        <v>22399</v>
      </c>
      <c r="M156" s="1">
        <v>0</v>
      </c>
      <c r="N156" s="1">
        <v>38879</v>
      </c>
      <c r="O156" s="1">
        <v>32319</v>
      </c>
      <c r="P156" s="1">
        <v>0</v>
      </c>
      <c r="Q156" s="1">
        <v>690</v>
      </c>
      <c r="R156" s="1">
        <v>0</v>
      </c>
      <c r="S156" s="1">
        <v>0</v>
      </c>
      <c r="T156" s="1">
        <v>0</v>
      </c>
      <c r="U156" s="1">
        <v>150331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53960</v>
      </c>
      <c r="AB156" s="1">
        <v>0</v>
      </c>
      <c r="AC156" s="1">
        <v>158335</v>
      </c>
      <c r="AD156" s="1">
        <v>0</v>
      </c>
      <c r="AE156" s="1">
        <f t="shared" si="10"/>
        <v>1621265</v>
      </c>
      <c r="AF156" s="9">
        <f t="shared" si="11"/>
        <v>7.7154567575319272E-2</v>
      </c>
      <c r="AG156" s="9">
        <f t="shared" si="12"/>
        <v>5.0904694790796078E-3</v>
      </c>
      <c r="AH156" s="9">
        <f t="shared" si="13"/>
        <v>6.2137281690531773E-2</v>
      </c>
      <c r="AI156" s="9">
        <f t="shared" si="14"/>
        <v>8.613027481627001E-3</v>
      </c>
      <c r="AJ156" s="1" t="str">
        <f>IF(VLOOKUP(A156,Hospital!A:C,3,FALSE)="H","Hospital","Freestanding")</f>
        <v>Freestanding</v>
      </c>
      <c r="AK156" s="1">
        <v>2024</v>
      </c>
    </row>
    <row r="157" spans="1:37">
      <c r="A157" s="1">
        <v>39001</v>
      </c>
      <c r="B157" s="1" t="s">
        <v>322</v>
      </c>
      <c r="C157" s="1">
        <v>30947</v>
      </c>
      <c r="D157" s="1">
        <v>0</v>
      </c>
      <c r="E157" s="1">
        <v>50842</v>
      </c>
      <c r="F157" s="1">
        <v>43478</v>
      </c>
      <c r="G157" s="1">
        <v>132097</v>
      </c>
      <c r="H157" s="1">
        <v>312268</v>
      </c>
      <c r="I157" s="1">
        <v>225994</v>
      </c>
      <c r="J157" s="1">
        <v>966328</v>
      </c>
      <c r="K157" s="1">
        <v>0</v>
      </c>
      <c r="L157" s="1">
        <v>30039</v>
      </c>
      <c r="M157" s="1">
        <v>0</v>
      </c>
      <c r="N157" s="1">
        <v>53715</v>
      </c>
      <c r="O157" s="1">
        <v>95821</v>
      </c>
      <c r="P157" s="1">
        <v>0</v>
      </c>
      <c r="Q157" s="1">
        <v>0</v>
      </c>
      <c r="R157" s="1">
        <v>-10712</v>
      </c>
      <c r="S157" s="1">
        <v>0</v>
      </c>
      <c r="T157" s="1">
        <v>0</v>
      </c>
      <c r="U157" s="1">
        <v>267256</v>
      </c>
      <c r="V157" s="1">
        <v>2164</v>
      </c>
      <c r="W157" s="1">
        <v>34729</v>
      </c>
      <c r="X157" s="1">
        <v>1168</v>
      </c>
      <c r="Y157" s="1">
        <v>74201</v>
      </c>
      <c r="Z157" s="1">
        <v>1886</v>
      </c>
      <c r="AA157" s="1">
        <v>0</v>
      </c>
      <c r="AB157" s="1">
        <v>0</v>
      </c>
      <c r="AC157" s="1">
        <v>69427</v>
      </c>
      <c r="AD157" s="1">
        <v>0</v>
      </c>
      <c r="AE157" s="1">
        <f t="shared" si="10"/>
        <v>2256381</v>
      </c>
      <c r="AF157" s="9">
        <f t="shared" si="11"/>
        <v>1.3715325558937076E-2</v>
      </c>
      <c r="AG157" s="9">
        <f t="shared" si="12"/>
        <v>0</v>
      </c>
      <c r="AH157" s="9">
        <f t="shared" si="13"/>
        <v>2.2532542154893167E-2</v>
      </c>
      <c r="AI157" s="9">
        <f t="shared" si="14"/>
        <v>1.9268908929830558E-2</v>
      </c>
      <c r="AJ157" s="1" t="str">
        <f>IF(VLOOKUP(A157,Hospital!A:C,3,FALSE)="H","Hospital","Freestanding")</f>
        <v>Hospital</v>
      </c>
      <c r="AK157" s="1">
        <v>2024</v>
      </c>
    </row>
    <row r="158" spans="1:37">
      <c r="A158" s="1">
        <v>40003</v>
      </c>
      <c r="B158" s="1" t="s">
        <v>323</v>
      </c>
      <c r="C158" s="1">
        <v>199377</v>
      </c>
      <c r="D158" s="1">
        <v>26774</v>
      </c>
      <c r="E158" s="1">
        <v>82702</v>
      </c>
      <c r="F158" s="1">
        <v>15333</v>
      </c>
      <c r="G158" s="1">
        <v>126214</v>
      </c>
      <c r="H158" s="1">
        <v>400574</v>
      </c>
      <c r="I158" s="1">
        <v>297567</v>
      </c>
      <c r="J158" s="1">
        <v>927075</v>
      </c>
      <c r="K158" s="1">
        <v>0</v>
      </c>
      <c r="L158" s="1">
        <v>44957</v>
      </c>
      <c r="M158" s="1">
        <v>0</v>
      </c>
      <c r="N158" s="1">
        <v>41609</v>
      </c>
      <c r="O158" s="1">
        <v>98479</v>
      </c>
      <c r="P158" s="1">
        <v>0</v>
      </c>
      <c r="Q158" s="1">
        <v>0</v>
      </c>
      <c r="R158" s="1">
        <v>14056</v>
      </c>
      <c r="S158" s="1">
        <v>0</v>
      </c>
      <c r="T158" s="1">
        <v>0</v>
      </c>
      <c r="U158" s="1">
        <v>442603</v>
      </c>
      <c r="V158" s="1">
        <v>0</v>
      </c>
      <c r="W158" s="1">
        <v>44978</v>
      </c>
      <c r="X158" s="1">
        <v>634</v>
      </c>
      <c r="Y158" s="1">
        <v>0</v>
      </c>
      <c r="Z158" s="1">
        <v>63</v>
      </c>
      <c r="AA158" s="1">
        <v>31703</v>
      </c>
      <c r="AB158" s="1">
        <v>302</v>
      </c>
      <c r="AC158" s="1">
        <v>193758</v>
      </c>
      <c r="AD158" s="1">
        <v>3860</v>
      </c>
      <c r="AE158" s="1">
        <f t="shared" si="10"/>
        <v>2668432</v>
      </c>
      <c r="AF158" s="9">
        <f t="shared" si="11"/>
        <v>7.4716912403988561E-2</v>
      </c>
      <c r="AG158" s="9">
        <f t="shared" si="12"/>
        <v>1.0033607751668396E-2</v>
      </c>
      <c r="AH158" s="9">
        <f t="shared" si="13"/>
        <v>3.0992732810879199E-2</v>
      </c>
      <c r="AI158" s="9">
        <f t="shared" si="14"/>
        <v>5.7460711009311837E-3</v>
      </c>
      <c r="AJ158" s="1" t="str">
        <f>IF(VLOOKUP(A158,Hospital!A:C,3,FALSE)="H","Hospital","Freestanding")</f>
        <v>Hospital</v>
      </c>
      <c r="AK158" s="1">
        <v>2024</v>
      </c>
    </row>
    <row r="159" spans="1:37">
      <c r="A159" s="1">
        <v>40004</v>
      </c>
      <c r="B159" s="1" t="s">
        <v>324</v>
      </c>
      <c r="C159" s="1">
        <v>153677</v>
      </c>
      <c r="D159" s="1">
        <v>0</v>
      </c>
      <c r="E159" s="1">
        <v>35856</v>
      </c>
      <c r="F159" s="1">
        <v>0</v>
      </c>
      <c r="G159" s="1">
        <v>161422</v>
      </c>
      <c r="H159" s="1">
        <v>172967</v>
      </c>
      <c r="I159" s="1">
        <v>247418</v>
      </c>
      <c r="J159" s="1">
        <v>455610</v>
      </c>
      <c r="K159" s="1">
        <v>131286</v>
      </c>
      <c r="L159" s="1">
        <v>37870</v>
      </c>
      <c r="M159" s="1">
        <v>0</v>
      </c>
      <c r="N159" s="1">
        <v>54872</v>
      </c>
      <c r="O159" s="1">
        <v>75515</v>
      </c>
      <c r="P159" s="1">
        <v>0</v>
      </c>
      <c r="Q159" s="1">
        <v>0</v>
      </c>
      <c r="R159" s="1">
        <v>8661</v>
      </c>
      <c r="S159" s="1">
        <v>0</v>
      </c>
      <c r="T159" s="1">
        <v>0</v>
      </c>
      <c r="U159" s="1">
        <v>251352</v>
      </c>
      <c r="V159" s="1">
        <v>1004</v>
      </c>
      <c r="W159" s="1">
        <v>36792</v>
      </c>
      <c r="X159" s="1">
        <v>1165</v>
      </c>
      <c r="Y159" s="1">
        <v>40669</v>
      </c>
      <c r="Z159" s="1">
        <v>-414</v>
      </c>
      <c r="AA159" s="1">
        <v>60444</v>
      </c>
      <c r="AB159" s="1">
        <v>-1152</v>
      </c>
      <c r="AC159" s="1">
        <v>177051</v>
      </c>
      <c r="AD159" s="1">
        <v>1131</v>
      </c>
      <c r="AE159" s="1">
        <f t="shared" si="10"/>
        <v>1913663</v>
      </c>
      <c r="AF159" s="9">
        <f t="shared" si="11"/>
        <v>8.0305152997157805E-2</v>
      </c>
      <c r="AG159" s="9">
        <f t="shared" si="12"/>
        <v>0</v>
      </c>
      <c r="AH159" s="9">
        <f t="shared" si="13"/>
        <v>1.8736841335177615E-2</v>
      </c>
      <c r="AI159" s="9">
        <f t="shared" si="14"/>
        <v>0</v>
      </c>
      <c r="AJ159" s="1" t="str">
        <f>IF(VLOOKUP(A159,Hospital!A:C,3,FALSE)="H","Hospital","Freestanding")</f>
        <v>Freestanding</v>
      </c>
      <c r="AK159" s="1">
        <v>2024</v>
      </c>
    </row>
    <row r="160" spans="1:37">
      <c r="A160" s="1">
        <v>41002</v>
      </c>
      <c r="B160" s="1" t="s">
        <v>325</v>
      </c>
      <c r="C160" s="1">
        <v>0</v>
      </c>
      <c r="D160" s="1">
        <v>0</v>
      </c>
      <c r="E160" s="1">
        <v>0</v>
      </c>
      <c r="F160" s="1">
        <v>0</v>
      </c>
      <c r="G160" s="1">
        <v>460426</v>
      </c>
      <c r="H160" s="1">
        <v>180227</v>
      </c>
      <c r="I160" s="1">
        <v>394328</v>
      </c>
      <c r="J160" s="1">
        <v>409476</v>
      </c>
      <c r="K160" s="1">
        <v>92427</v>
      </c>
      <c r="L160" s="1">
        <v>0</v>
      </c>
      <c r="M160" s="1">
        <v>0</v>
      </c>
      <c r="N160" s="1">
        <v>102517</v>
      </c>
      <c r="O160" s="1">
        <v>98223</v>
      </c>
      <c r="P160" s="1">
        <v>5322</v>
      </c>
      <c r="Q160" s="1">
        <v>0</v>
      </c>
      <c r="R160" s="1">
        <v>11009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f t="shared" si="10"/>
        <v>1753955</v>
      </c>
      <c r="AF160" s="9">
        <f t="shared" si="11"/>
        <v>0</v>
      </c>
      <c r="AG160" s="9">
        <f t="shared" si="12"/>
        <v>0</v>
      </c>
      <c r="AH160" s="9">
        <f t="shared" si="13"/>
        <v>0</v>
      </c>
      <c r="AI160" s="9">
        <f t="shared" si="14"/>
        <v>0</v>
      </c>
      <c r="AJ160" s="1" t="str">
        <f>IF(VLOOKUP(A160,Hospital!A:C,3,FALSE)="H","Hospital","Freestanding")</f>
        <v>Hospital</v>
      </c>
      <c r="AK160" s="1">
        <v>2024</v>
      </c>
    </row>
    <row r="161" spans="1:37">
      <c r="A161" s="1">
        <v>41003</v>
      </c>
      <c r="B161" s="1" t="s">
        <v>326</v>
      </c>
      <c r="C161" s="1">
        <v>0</v>
      </c>
      <c r="D161" s="1">
        <v>0</v>
      </c>
      <c r="E161" s="1">
        <v>0</v>
      </c>
      <c r="F161" s="1">
        <v>0</v>
      </c>
      <c r="G161" s="1">
        <v>145617</v>
      </c>
      <c r="H161" s="1">
        <v>229005</v>
      </c>
      <c r="I161" s="1">
        <v>223005</v>
      </c>
      <c r="J161" s="1">
        <v>581552</v>
      </c>
      <c r="K161" s="1">
        <v>128345</v>
      </c>
      <c r="L161" s="1">
        <v>9301</v>
      </c>
      <c r="M161" s="1">
        <v>0</v>
      </c>
      <c r="N161" s="1">
        <v>21271</v>
      </c>
      <c r="O161" s="1">
        <v>46429</v>
      </c>
      <c r="P161" s="1">
        <v>0</v>
      </c>
      <c r="Q161" s="1">
        <v>0</v>
      </c>
      <c r="R161" s="1">
        <v>10917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f t="shared" si="10"/>
        <v>1395442</v>
      </c>
      <c r="AF161" s="9">
        <f t="shared" si="11"/>
        <v>0</v>
      </c>
      <c r="AG161" s="9">
        <f t="shared" si="12"/>
        <v>0</v>
      </c>
      <c r="AH161" s="9">
        <f t="shared" si="13"/>
        <v>0</v>
      </c>
      <c r="AI161" s="9">
        <f t="shared" si="14"/>
        <v>0</v>
      </c>
      <c r="AJ161" s="1" t="str">
        <f>IF(VLOOKUP(A161,Hospital!A:C,3,FALSE)="H","Hospital","Freestanding")</f>
        <v>Hospital</v>
      </c>
      <c r="AK161" s="1">
        <v>2024</v>
      </c>
    </row>
    <row r="162" spans="1:37">
      <c r="A162" s="1">
        <v>42001</v>
      </c>
      <c r="B162" s="1" t="s">
        <v>327</v>
      </c>
      <c r="C162" s="1">
        <v>151329</v>
      </c>
      <c r="D162" s="1">
        <v>-5094</v>
      </c>
      <c r="E162" s="1">
        <v>54987</v>
      </c>
      <c r="F162" s="1">
        <v>0</v>
      </c>
      <c r="G162" s="1">
        <v>215077</v>
      </c>
      <c r="H162" s="1">
        <v>188789</v>
      </c>
      <c r="I162" s="1">
        <v>217072</v>
      </c>
      <c r="J162" s="1">
        <v>653065</v>
      </c>
      <c r="K162" s="1">
        <v>87464</v>
      </c>
      <c r="L162" s="1">
        <v>17942</v>
      </c>
      <c r="M162" s="1">
        <v>0</v>
      </c>
      <c r="N162" s="1">
        <v>48576</v>
      </c>
      <c r="O162" s="1">
        <v>82157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247031</v>
      </c>
      <c r="V162" s="1">
        <v>0</v>
      </c>
      <c r="W162" s="1">
        <v>8905</v>
      </c>
      <c r="X162" s="1">
        <v>0</v>
      </c>
      <c r="Y162" s="1">
        <v>100480</v>
      </c>
      <c r="Z162" s="1">
        <v>0</v>
      </c>
      <c r="AA162" s="1">
        <v>51713</v>
      </c>
      <c r="AB162" s="1">
        <v>0</v>
      </c>
      <c r="AC162" s="1">
        <v>167465</v>
      </c>
      <c r="AD162" s="1">
        <v>0</v>
      </c>
      <c r="AE162" s="1">
        <f t="shared" si="10"/>
        <v>2085736</v>
      </c>
      <c r="AF162" s="9">
        <f t="shared" si="11"/>
        <v>7.2554244640740728E-2</v>
      </c>
      <c r="AG162" s="9">
        <f t="shared" si="12"/>
        <v>-2.4423033404035793E-3</v>
      </c>
      <c r="AH162" s="9">
        <f t="shared" si="13"/>
        <v>2.6363355669173857E-2</v>
      </c>
      <c r="AI162" s="9">
        <f t="shared" si="14"/>
        <v>0</v>
      </c>
      <c r="AJ162" s="1" t="str">
        <f>IF(VLOOKUP(A162,Hospital!A:C,3,FALSE)="H","Hospital","Freestanding")</f>
        <v>Freestanding</v>
      </c>
      <c r="AK162" s="1">
        <v>2024</v>
      </c>
    </row>
    <row r="163" spans="1:37">
      <c r="A163" s="1">
        <v>42005</v>
      </c>
      <c r="B163" s="1" t="s">
        <v>328</v>
      </c>
      <c r="C163" s="1">
        <v>0</v>
      </c>
      <c r="D163" s="1">
        <v>0</v>
      </c>
      <c r="E163" s="1">
        <v>0</v>
      </c>
      <c r="F163" s="1">
        <v>0</v>
      </c>
      <c r="G163" s="1">
        <v>400268</v>
      </c>
      <c r="H163" s="1">
        <v>967230</v>
      </c>
      <c r="I163" s="1">
        <v>342709</v>
      </c>
      <c r="J163" s="1">
        <v>962687</v>
      </c>
      <c r="K163" s="1">
        <v>1568508</v>
      </c>
      <c r="L163" s="1">
        <v>9278</v>
      </c>
      <c r="M163" s="1">
        <v>0</v>
      </c>
      <c r="N163" s="1">
        <v>63231</v>
      </c>
      <c r="O163" s="1">
        <v>94137</v>
      </c>
      <c r="P163" s="1">
        <v>14000</v>
      </c>
      <c r="Q163" s="1">
        <v>0</v>
      </c>
      <c r="R163" s="1">
        <v>31278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f t="shared" si="10"/>
        <v>4453326</v>
      </c>
      <c r="AF163" s="9">
        <f t="shared" si="11"/>
        <v>0</v>
      </c>
      <c r="AG163" s="9">
        <f t="shared" si="12"/>
        <v>0</v>
      </c>
      <c r="AH163" s="9">
        <f t="shared" si="13"/>
        <v>0</v>
      </c>
      <c r="AI163" s="9">
        <f t="shared" si="14"/>
        <v>0</v>
      </c>
      <c r="AJ163" s="1" t="str">
        <f>IF(VLOOKUP(A163,Hospital!A:C,3,FALSE)="H","Hospital","Freestanding")</f>
        <v>Hospital</v>
      </c>
      <c r="AK163" s="1">
        <v>2024</v>
      </c>
    </row>
    <row r="164" spans="1:37">
      <c r="A164" s="1">
        <v>43001</v>
      </c>
      <c r="B164" s="1" t="s">
        <v>329</v>
      </c>
      <c r="C164" s="1">
        <v>175659</v>
      </c>
      <c r="D164" s="1">
        <v>11653</v>
      </c>
      <c r="E164" s="1">
        <v>24225</v>
      </c>
      <c r="F164" s="1">
        <v>11863</v>
      </c>
      <c r="G164" s="1">
        <v>253748</v>
      </c>
      <c r="H164" s="1">
        <v>258097</v>
      </c>
      <c r="I164" s="1">
        <v>121857</v>
      </c>
      <c r="J164" s="1">
        <v>527218</v>
      </c>
      <c r="K164" s="1">
        <v>292467</v>
      </c>
      <c r="L164" s="1">
        <v>67704</v>
      </c>
      <c r="M164" s="1">
        <v>0</v>
      </c>
      <c r="N164" s="1">
        <v>49403</v>
      </c>
      <c r="O164" s="1">
        <v>69241</v>
      </c>
      <c r="P164" s="1">
        <v>0</v>
      </c>
      <c r="Q164" s="1">
        <v>75339</v>
      </c>
      <c r="R164" s="1">
        <v>0</v>
      </c>
      <c r="S164" s="1">
        <v>0</v>
      </c>
      <c r="T164" s="1">
        <v>0</v>
      </c>
      <c r="U164" s="1">
        <v>162239</v>
      </c>
      <c r="V164" s="1">
        <v>0</v>
      </c>
      <c r="W164" s="1">
        <v>0</v>
      </c>
      <c r="X164" s="1">
        <v>0</v>
      </c>
      <c r="Y164" s="1">
        <v>47</v>
      </c>
      <c r="Z164" s="1">
        <v>0</v>
      </c>
      <c r="AA164" s="1">
        <v>64387</v>
      </c>
      <c r="AB164" s="1">
        <v>0</v>
      </c>
      <c r="AC164" s="1">
        <v>319264</v>
      </c>
      <c r="AD164" s="1">
        <v>0</v>
      </c>
      <c r="AE164" s="1">
        <f t="shared" si="10"/>
        <v>2261011</v>
      </c>
      <c r="AF164" s="9">
        <f t="shared" si="11"/>
        <v>7.7690466786760434E-2</v>
      </c>
      <c r="AG164" s="9">
        <f t="shared" si="12"/>
        <v>5.1538891230515907E-3</v>
      </c>
      <c r="AH164" s="9">
        <f t="shared" si="13"/>
        <v>1.0714233588425709E-2</v>
      </c>
      <c r="AI164" s="9">
        <f t="shared" si="14"/>
        <v>5.2467679281524944E-3</v>
      </c>
      <c r="AJ164" s="1" t="str">
        <f>IF(VLOOKUP(A164,Hospital!A:C,3,FALSE)="H","Hospital","Freestanding")</f>
        <v>Freestanding</v>
      </c>
      <c r="AK164" s="1">
        <v>2024</v>
      </c>
    </row>
    <row r="165" spans="1:37">
      <c r="A165" s="1">
        <v>43002</v>
      </c>
      <c r="B165" s="1" t="s">
        <v>330</v>
      </c>
      <c r="C165" s="1">
        <v>556883</v>
      </c>
      <c r="D165" s="1">
        <v>6871</v>
      </c>
      <c r="E165" s="1">
        <v>240073</v>
      </c>
      <c r="F165" s="1">
        <v>164109</v>
      </c>
      <c r="G165" s="1">
        <v>743781</v>
      </c>
      <c r="H165" s="1">
        <v>893256</v>
      </c>
      <c r="I165" s="1">
        <v>670136</v>
      </c>
      <c r="J165" s="1">
        <v>1920183</v>
      </c>
      <c r="K165" s="1">
        <v>1324832</v>
      </c>
      <c r="L165" s="1">
        <v>266178</v>
      </c>
      <c r="M165" s="1">
        <v>0</v>
      </c>
      <c r="N165" s="1">
        <v>294722</v>
      </c>
      <c r="O165" s="1">
        <v>179593</v>
      </c>
      <c r="P165" s="1">
        <v>53584</v>
      </c>
      <c r="Q165" s="1">
        <v>0</v>
      </c>
      <c r="R165" s="1">
        <v>9920</v>
      </c>
      <c r="S165" s="1">
        <v>0</v>
      </c>
      <c r="T165" s="1">
        <v>0</v>
      </c>
      <c r="U165" s="1">
        <v>733455</v>
      </c>
      <c r="V165" s="1">
        <v>3527</v>
      </c>
      <c r="W165" s="1">
        <v>68204</v>
      </c>
      <c r="X165" s="1">
        <v>0</v>
      </c>
      <c r="Y165" s="1">
        <v>156929</v>
      </c>
      <c r="Z165" s="1">
        <v>-836</v>
      </c>
      <c r="AA165" s="1">
        <v>171331</v>
      </c>
      <c r="AB165" s="1">
        <v>2262</v>
      </c>
      <c r="AC165" s="1">
        <v>354803</v>
      </c>
      <c r="AD165" s="1">
        <v>8624</v>
      </c>
      <c r="AE165" s="1">
        <f t="shared" si="10"/>
        <v>7854484</v>
      </c>
      <c r="AF165" s="9">
        <f t="shared" si="11"/>
        <v>7.0900010745454448E-2</v>
      </c>
      <c r="AG165" s="9">
        <f t="shared" si="12"/>
        <v>8.7478693699038666E-4</v>
      </c>
      <c r="AH165" s="9">
        <f t="shared" si="13"/>
        <v>3.0565088680554953E-2</v>
      </c>
      <c r="AI165" s="9">
        <f t="shared" si="14"/>
        <v>2.0893670418069474E-2</v>
      </c>
      <c r="AJ165" s="1" t="str">
        <f>IF(VLOOKUP(A165,Hospital!A:C,3,FALSE)="H","Hospital","Freestanding")</f>
        <v>Hospital</v>
      </c>
      <c r="AK165" s="1">
        <v>2024</v>
      </c>
    </row>
    <row r="166" spans="1:37">
      <c r="A166" s="1">
        <v>43003</v>
      </c>
      <c r="B166" s="1" t="s">
        <v>331</v>
      </c>
      <c r="C166" s="1">
        <v>0</v>
      </c>
      <c r="D166" s="1">
        <v>0</v>
      </c>
      <c r="E166" s="1">
        <v>0</v>
      </c>
      <c r="F166" s="1">
        <v>0</v>
      </c>
      <c r="G166" s="1">
        <v>341693</v>
      </c>
      <c r="H166" s="1">
        <v>2008352</v>
      </c>
      <c r="I166" s="1">
        <v>641261</v>
      </c>
      <c r="J166" s="1">
        <v>2585891</v>
      </c>
      <c r="K166" s="1">
        <v>82690</v>
      </c>
      <c r="L166" s="1">
        <v>97425</v>
      </c>
      <c r="M166" s="1">
        <v>0</v>
      </c>
      <c r="N166" s="1">
        <v>134969</v>
      </c>
      <c r="O166" s="1">
        <v>265939</v>
      </c>
      <c r="P166" s="1">
        <v>0</v>
      </c>
      <c r="Q166" s="1">
        <v>0</v>
      </c>
      <c r="R166" s="1">
        <v>-112870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f t="shared" si="10"/>
        <v>6045350</v>
      </c>
      <c r="AF166" s="9">
        <f t="shared" si="11"/>
        <v>0</v>
      </c>
      <c r="AG166" s="9">
        <f t="shared" si="12"/>
        <v>0</v>
      </c>
      <c r="AH166" s="9">
        <f t="shared" si="13"/>
        <v>0</v>
      </c>
      <c r="AI166" s="9">
        <f t="shared" si="14"/>
        <v>0</v>
      </c>
      <c r="AJ166" s="1" t="str">
        <f>IF(VLOOKUP(A166,Hospital!A:C,3,FALSE)="H","Hospital","Freestanding")</f>
        <v>Hospital</v>
      </c>
      <c r="AK166" s="1">
        <v>2024</v>
      </c>
    </row>
    <row r="167" spans="1:37">
      <c r="A167" s="1">
        <v>44001</v>
      </c>
      <c r="B167" s="1" t="s">
        <v>332</v>
      </c>
      <c r="C167" s="1">
        <v>0</v>
      </c>
      <c r="D167" s="1">
        <v>0</v>
      </c>
      <c r="E167" s="1">
        <v>0</v>
      </c>
      <c r="F167" s="1">
        <v>0</v>
      </c>
      <c r="G167" s="1">
        <v>239765</v>
      </c>
      <c r="H167" s="1">
        <v>277565</v>
      </c>
      <c r="I167" s="1">
        <v>233718</v>
      </c>
      <c r="J167" s="1">
        <v>535289</v>
      </c>
      <c r="K167" s="1">
        <v>237247</v>
      </c>
      <c r="L167" s="1">
        <v>48913</v>
      </c>
      <c r="M167" s="1">
        <v>0</v>
      </c>
      <c r="N167" s="1">
        <v>25162</v>
      </c>
      <c r="O167" s="1">
        <v>198499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f t="shared" si="10"/>
        <v>1796158</v>
      </c>
      <c r="AF167" s="9">
        <f t="shared" si="11"/>
        <v>0</v>
      </c>
      <c r="AG167" s="9">
        <f t="shared" si="12"/>
        <v>0</v>
      </c>
      <c r="AH167" s="9">
        <f t="shared" si="13"/>
        <v>0</v>
      </c>
      <c r="AI167" s="9">
        <f t="shared" si="14"/>
        <v>0</v>
      </c>
      <c r="AJ167" s="1" t="str">
        <f>IF(VLOOKUP(A167,Hospital!A:C,3,FALSE)="H","Hospital","Freestanding")</f>
        <v>Hospital</v>
      </c>
      <c r="AK167" s="1">
        <v>2024</v>
      </c>
    </row>
    <row r="168" spans="1:37">
      <c r="A168" s="1">
        <v>45001</v>
      </c>
      <c r="B168" s="1" t="s">
        <v>333</v>
      </c>
      <c r="C168" s="1">
        <v>223437</v>
      </c>
      <c r="D168" s="1">
        <v>17</v>
      </c>
      <c r="E168" s="1">
        <v>47652</v>
      </c>
      <c r="F168" s="1">
        <v>0</v>
      </c>
      <c r="G168" s="1">
        <v>337696</v>
      </c>
      <c r="H168" s="1">
        <v>305742</v>
      </c>
      <c r="I168" s="1">
        <v>327170</v>
      </c>
      <c r="J168" s="1">
        <v>515075</v>
      </c>
      <c r="K168" s="1">
        <v>40964</v>
      </c>
      <c r="L168" s="1">
        <v>0</v>
      </c>
      <c r="M168" s="1">
        <v>0</v>
      </c>
      <c r="N168" s="1">
        <v>74811</v>
      </c>
      <c r="O168" s="1">
        <v>145755</v>
      </c>
      <c r="P168" s="1">
        <v>192974</v>
      </c>
      <c r="Q168" s="1">
        <v>0</v>
      </c>
      <c r="R168" s="1">
        <v>25057</v>
      </c>
      <c r="S168" s="1">
        <v>0</v>
      </c>
      <c r="T168" s="1">
        <v>0</v>
      </c>
      <c r="U168" s="1">
        <v>285502</v>
      </c>
      <c r="V168" s="1">
        <v>-3487</v>
      </c>
      <c r="W168" s="1">
        <v>48044</v>
      </c>
      <c r="X168" s="1">
        <v>3424</v>
      </c>
      <c r="Y168" s="1">
        <v>110359</v>
      </c>
      <c r="Z168" s="1">
        <v>-7400</v>
      </c>
      <c r="AA168" s="1">
        <v>151693</v>
      </c>
      <c r="AB168" s="1">
        <v>1284</v>
      </c>
      <c r="AC168" s="1">
        <v>487093</v>
      </c>
      <c r="AD168" s="1">
        <v>-1392</v>
      </c>
      <c r="AE168" s="1">
        <f t="shared" si="10"/>
        <v>3040364</v>
      </c>
      <c r="AF168" s="9">
        <f t="shared" si="11"/>
        <v>7.349021367178403E-2</v>
      </c>
      <c r="AG168" s="9">
        <f t="shared" si="12"/>
        <v>5.5914357622968828E-6</v>
      </c>
      <c r="AH168" s="9">
        <f t="shared" si="13"/>
        <v>1.5673123349704179E-2</v>
      </c>
      <c r="AI168" s="9">
        <f t="shared" si="14"/>
        <v>0</v>
      </c>
      <c r="AJ168" s="1" t="str">
        <f>IF(VLOOKUP(A168,Hospital!A:C,3,FALSE)="H","Hospital","Freestanding")</f>
        <v>Freestanding</v>
      </c>
      <c r="AK168" s="1">
        <v>2024</v>
      </c>
    </row>
    <row r="169" spans="1:37">
      <c r="A169" s="1">
        <v>46002</v>
      </c>
      <c r="B169" s="1" t="s">
        <v>334</v>
      </c>
      <c r="C169" s="1">
        <v>343112</v>
      </c>
      <c r="D169" s="1">
        <v>15630</v>
      </c>
      <c r="E169" s="1">
        <v>81491</v>
      </c>
      <c r="F169" s="1">
        <v>73676</v>
      </c>
      <c r="G169" s="1">
        <v>474976</v>
      </c>
      <c r="H169" s="1">
        <v>379592</v>
      </c>
      <c r="I169" s="1">
        <v>865534</v>
      </c>
      <c r="J169" s="1">
        <v>1342656</v>
      </c>
      <c r="K169" s="1">
        <v>13946</v>
      </c>
      <c r="L169" s="1">
        <v>69859</v>
      </c>
      <c r="M169" s="1">
        <v>0</v>
      </c>
      <c r="N169" s="1">
        <v>147727</v>
      </c>
      <c r="O169" s="1">
        <v>136779</v>
      </c>
      <c r="P169" s="1">
        <v>33989</v>
      </c>
      <c r="Q169" s="1">
        <v>0</v>
      </c>
      <c r="R169" s="1">
        <v>-5589</v>
      </c>
      <c r="S169" s="1">
        <v>0</v>
      </c>
      <c r="T169" s="1">
        <v>0</v>
      </c>
      <c r="U169" s="1">
        <v>388032</v>
      </c>
      <c r="V169" s="1">
        <v>1158</v>
      </c>
      <c r="W169" s="1">
        <v>83580</v>
      </c>
      <c r="X169" s="1">
        <v>-5918</v>
      </c>
      <c r="Y169" s="1">
        <v>125890</v>
      </c>
      <c r="Z169" s="1">
        <v>2467</v>
      </c>
      <c r="AA169" s="1">
        <v>248855</v>
      </c>
      <c r="AB169" s="1">
        <v>3169</v>
      </c>
      <c r="AC169" s="1">
        <v>241320</v>
      </c>
      <c r="AD169" s="1">
        <v>2329</v>
      </c>
      <c r="AE169" s="1">
        <f t="shared" si="10"/>
        <v>4550351</v>
      </c>
      <c r="AF169" s="9">
        <f t="shared" si="11"/>
        <v>7.5403413934441541E-2</v>
      </c>
      <c r="AG169" s="9">
        <f t="shared" si="12"/>
        <v>3.4348998571758532E-3</v>
      </c>
      <c r="AH169" s="9">
        <f t="shared" si="13"/>
        <v>1.7908728359636434E-2</v>
      </c>
      <c r="AI169" s="9">
        <f t="shared" si="14"/>
        <v>1.6191278431048506E-2</v>
      </c>
      <c r="AJ169" s="1" t="str">
        <f>IF(VLOOKUP(A169,Hospital!A:C,3,FALSE)="H","Hospital","Freestanding")</f>
        <v>Freestanding</v>
      </c>
      <c r="AK169" s="1">
        <v>2024</v>
      </c>
    </row>
    <row r="170" spans="1:37">
      <c r="A170" s="1">
        <v>46003</v>
      </c>
      <c r="B170" s="1" t="s">
        <v>335</v>
      </c>
      <c r="C170" s="1">
        <v>146485</v>
      </c>
      <c r="D170" s="1">
        <v>6937</v>
      </c>
      <c r="E170" s="1">
        <v>30220</v>
      </c>
      <c r="F170" s="1">
        <v>0</v>
      </c>
      <c r="G170" s="1">
        <v>195852</v>
      </c>
      <c r="H170" s="1">
        <v>236385</v>
      </c>
      <c r="I170" s="1">
        <v>298134</v>
      </c>
      <c r="J170" s="1">
        <v>551571</v>
      </c>
      <c r="K170" s="1">
        <v>16747</v>
      </c>
      <c r="L170" s="1">
        <v>23827</v>
      </c>
      <c r="M170" s="1">
        <v>0</v>
      </c>
      <c r="N170" s="1">
        <v>19027</v>
      </c>
      <c r="O170" s="1">
        <v>45751</v>
      </c>
      <c r="P170" s="1">
        <v>0</v>
      </c>
      <c r="Q170" s="1">
        <v>0</v>
      </c>
      <c r="R170" s="1">
        <v>1278</v>
      </c>
      <c r="S170" s="1">
        <v>0</v>
      </c>
      <c r="T170" s="1">
        <v>0</v>
      </c>
      <c r="U170" s="1">
        <v>240735</v>
      </c>
      <c r="V170" s="1">
        <v>0</v>
      </c>
      <c r="W170" s="1">
        <v>15058</v>
      </c>
      <c r="X170" s="1">
        <v>0</v>
      </c>
      <c r="Y170" s="1">
        <v>54477</v>
      </c>
      <c r="Z170" s="1">
        <v>0</v>
      </c>
      <c r="AA170" s="1">
        <v>94940</v>
      </c>
      <c r="AB170" s="1">
        <v>0</v>
      </c>
      <c r="AC170" s="1">
        <v>141137</v>
      </c>
      <c r="AD170" s="1">
        <v>0</v>
      </c>
      <c r="AE170" s="1">
        <f t="shared" si="10"/>
        <v>1934919</v>
      </c>
      <c r="AF170" s="9">
        <f t="shared" si="11"/>
        <v>7.5706011466113055E-2</v>
      </c>
      <c r="AG170" s="9">
        <f t="shared" si="12"/>
        <v>3.5851629964871916E-3</v>
      </c>
      <c r="AH170" s="9">
        <f t="shared" si="13"/>
        <v>1.5618224845587851E-2</v>
      </c>
      <c r="AI170" s="9">
        <f t="shared" si="14"/>
        <v>0</v>
      </c>
      <c r="AJ170" s="1" t="str">
        <f>IF(VLOOKUP(A170,Hospital!A:C,3,FALSE)="H","Hospital","Freestanding")</f>
        <v>Freestanding</v>
      </c>
      <c r="AK170" s="1">
        <v>2024</v>
      </c>
    </row>
    <row r="171" spans="1:37">
      <c r="A171" s="1">
        <v>46004</v>
      </c>
      <c r="B171" s="1" t="s">
        <v>336</v>
      </c>
      <c r="C171" s="1">
        <v>106487</v>
      </c>
      <c r="D171" s="1">
        <v>6594</v>
      </c>
      <c r="E171" s="1">
        <v>17450</v>
      </c>
      <c r="F171" s="1">
        <v>17075</v>
      </c>
      <c r="G171" s="1">
        <v>112126</v>
      </c>
      <c r="H171" s="1">
        <v>291361</v>
      </c>
      <c r="I171" s="1">
        <v>108058</v>
      </c>
      <c r="J171" s="1">
        <v>333915</v>
      </c>
      <c r="K171" s="1">
        <v>6111</v>
      </c>
      <c r="L171" s="1">
        <v>35888</v>
      </c>
      <c r="M171" s="1">
        <v>0</v>
      </c>
      <c r="N171" s="1">
        <v>26066</v>
      </c>
      <c r="O171" s="1">
        <v>64223</v>
      </c>
      <c r="P171" s="1">
        <v>0</v>
      </c>
      <c r="Q171" s="1">
        <v>0</v>
      </c>
      <c r="R171" s="1">
        <v>1605</v>
      </c>
      <c r="S171" s="1">
        <v>0</v>
      </c>
      <c r="T171" s="1">
        <v>0</v>
      </c>
      <c r="U171" s="1">
        <v>149877</v>
      </c>
      <c r="V171" s="1">
        <v>1000</v>
      </c>
      <c r="W171" s="1">
        <v>30311</v>
      </c>
      <c r="X171" s="1">
        <v>275</v>
      </c>
      <c r="Y171" s="1">
        <v>45172</v>
      </c>
      <c r="Z171" s="1">
        <v>-1276</v>
      </c>
      <c r="AA171" s="1">
        <v>47340</v>
      </c>
      <c r="AB171" s="1">
        <v>-82</v>
      </c>
      <c r="AC171" s="1">
        <v>167157</v>
      </c>
      <c r="AD171" s="1">
        <v>1230</v>
      </c>
      <c r="AE171" s="1">
        <f t="shared" si="10"/>
        <v>1420357</v>
      </c>
      <c r="AF171" s="9">
        <f t="shared" si="11"/>
        <v>7.4971996476942068E-2</v>
      </c>
      <c r="AG171" s="9">
        <f t="shared" si="12"/>
        <v>4.6424948094035516E-3</v>
      </c>
      <c r="AH171" s="9">
        <f t="shared" si="13"/>
        <v>1.2285643679722773E-2</v>
      </c>
      <c r="AI171" s="9">
        <f t="shared" si="14"/>
        <v>1.2021625549069706E-2</v>
      </c>
      <c r="AJ171" s="1" t="str">
        <f>IF(VLOOKUP(A171,Hospital!A:C,3,FALSE)="H","Hospital","Freestanding")</f>
        <v>Freestanding</v>
      </c>
      <c r="AK171" s="1">
        <v>2024</v>
      </c>
    </row>
    <row r="172" spans="1:37">
      <c r="A172" s="1">
        <v>47002</v>
      </c>
      <c r="B172" s="1" t="s">
        <v>337</v>
      </c>
      <c r="C172" s="1">
        <v>207092</v>
      </c>
      <c r="D172" s="1">
        <v>29390</v>
      </c>
      <c r="E172" s="1">
        <v>31541</v>
      </c>
      <c r="F172" s="1">
        <v>14949</v>
      </c>
      <c r="G172" s="1">
        <v>330572</v>
      </c>
      <c r="H172" s="1">
        <v>197097</v>
      </c>
      <c r="I172" s="1">
        <v>399292</v>
      </c>
      <c r="J172" s="1">
        <v>672893</v>
      </c>
      <c r="K172" s="1">
        <v>271467</v>
      </c>
      <c r="L172" s="1">
        <v>61136</v>
      </c>
      <c r="M172" s="1">
        <v>0</v>
      </c>
      <c r="N172" s="1">
        <v>59976</v>
      </c>
      <c r="O172" s="1">
        <v>84507</v>
      </c>
      <c r="P172" s="1">
        <v>0</v>
      </c>
      <c r="Q172" s="1">
        <v>1097</v>
      </c>
      <c r="R172" s="1">
        <v>0</v>
      </c>
      <c r="S172" s="1">
        <v>0</v>
      </c>
      <c r="T172" s="1">
        <v>0</v>
      </c>
      <c r="U172" s="1">
        <v>268689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65515</v>
      </c>
      <c r="AB172" s="1">
        <v>0</v>
      </c>
      <c r="AC172" s="1">
        <v>261510</v>
      </c>
      <c r="AD172" s="1">
        <v>0</v>
      </c>
      <c r="AE172" s="1">
        <f t="shared" si="10"/>
        <v>2673751</v>
      </c>
      <c r="AF172" s="9">
        <f t="shared" si="11"/>
        <v>7.7453734472656577E-2</v>
      </c>
      <c r="AG172" s="9">
        <f t="shared" si="12"/>
        <v>1.0992048249818327E-2</v>
      </c>
      <c r="AH172" s="9">
        <f t="shared" si="13"/>
        <v>1.1796536027476007E-2</v>
      </c>
      <c r="AI172" s="9">
        <f t="shared" si="14"/>
        <v>5.5910217518385218E-3</v>
      </c>
      <c r="AJ172" s="1" t="str">
        <f>IF(VLOOKUP(A172,Hospital!A:C,3,FALSE)="H","Hospital","Freestanding")</f>
        <v>Freestanding</v>
      </c>
      <c r="AK172" s="1">
        <v>2024</v>
      </c>
    </row>
    <row r="173" spans="1:37">
      <c r="A173" s="1">
        <v>47003</v>
      </c>
      <c r="B173" s="1" t="s">
        <v>338</v>
      </c>
      <c r="C173" s="1">
        <v>366207</v>
      </c>
      <c r="D173" s="1">
        <v>21565</v>
      </c>
      <c r="E173" s="1">
        <v>101071</v>
      </c>
      <c r="F173" s="1">
        <v>75868</v>
      </c>
      <c r="G173" s="1">
        <v>94800</v>
      </c>
      <c r="H173" s="1">
        <v>668457</v>
      </c>
      <c r="I173" s="1">
        <v>370113</v>
      </c>
      <c r="J173" s="1">
        <v>1391082</v>
      </c>
      <c r="K173" s="1">
        <v>0</v>
      </c>
      <c r="L173" s="1">
        <v>45134</v>
      </c>
      <c r="M173" s="1">
        <v>0</v>
      </c>
      <c r="N173" s="1">
        <v>105047</v>
      </c>
      <c r="O173" s="1">
        <v>362189</v>
      </c>
      <c r="P173" s="1">
        <v>0</v>
      </c>
      <c r="Q173" s="1">
        <v>0</v>
      </c>
      <c r="R173" s="1">
        <v>-20200</v>
      </c>
      <c r="S173" s="1">
        <v>0</v>
      </c>
      <c r="T173" s="1">
        <v>0</v>
      </c>
      <c r="U173" s="1">
        <v>671039</v>
      </c>
      <c r="V173" s="1">
        <v>0</v>
      </c>
      <c r="W173" s="1">
        <v>0</v>
      </c>
      <c r="X173" s="1">
        <v>0</v>
      </c>
      <c r="Y173" s="1">
        <v>135363</v>
      </c>
      <c r="Z173" s="1">
        <v>-348</v>
      </c>
      <c r="AA173" s="1">
        <v>33889</v>
      </c>
      <c r="AB173" s="1">
        <v>-7805</v>
      </c>
      <c r="AC173" s="1">
        <v>472957</v>
      </c>
      <c r="AD173" s="1">
        <v>-3938</v>
      </c>
      <c r="AE173" s="1">
        <f t="shared" si="10"/>
        <v>4317779</v>
      </c>
      <c r="AF173" s="9">
        <f t="shared" si="11"/>
        <v>8.4813743362038674E-2</v>
      </c>
      <c r="AG173" s="9">
        <f t="shared" si="12"/>
        <v>4.9944659048089309E-3</v>
      </c>
      <c r="AH173" s="9">
        <f t="shared" si="13"/>
        <v>2.3408099395545719E-2</v>
      </c>
      <c r="AI173" s="9">
        <f t="shared" si="14"/>
        <v>1.7571070682404079E-2</v>
      </c>
      <c r="AJ173" s="1" t="str">
        <f>IF(VLOOKUP(A173,Hospital!A:C,3,FALSE)="H","Hospital","Freestanding")</f>
        <v>Freestanding</v>
      </c>
      <c r="AK173" s="1">
        <v>2024</v>
      </c>
    </row>
    <row r="174" spans="1:37">
      <c r="A174" s="1">
        <v>47005</v>
      </c>
      <c r="B174" s="1" t="s">
        <v>339</v>
      </c>
      <c r="C174" s="1">
        <v>208754</v>
      </c>
      <c r="D174" s="1">
        <v>15343</v>
      </c>
      <c r="E174" s="1">
        <v>30884</v>
      </c>
      <c r="F174" s="1">
        <v>38975</v>
      </c>
      <c r="G174" s="1">
        <v>253471</v>
      </c>
      <c r="H174" s="1">
        <v>457095</v>
      </c>
      <c r="I174" s="1">
        <v>308627</v>
      </c>
      <c r="J174" s="1">
        <v>686946</v>
      </c>
      <c r="K174" s="1">
        <v>0</v>
      </c>
      <c r="L174" s="1">
        <v>59962</v>
      </c>
      <c r="M174" s="1">
        <v>0</v>
      </c>
      <c r="N174" s="1">
        <v>85304</v>
      </c>
      <c r="O174" s="1">
        <v>155427</v>
      </c>
      <c r="P174" s="1">
        <v>40458</v>
      </c>
      <c r="Q174" s="1">
        <v>42004</v>
      </c>
      <c r="R174" s="1">
        <v>0</v>
      </c>
      <c r="S174" s="1">
        <v>0</v>
      </c>
      <c r="T174" s="1">
        <v>0</v>
      </c>
      <c r="U174" s="1">
        <v>273768</v>
      </c>
      <c r="V174" s="1">
        <v>0</v>
      </c>
      <c r="W174" s="1">
        <v>56178</v>
      </c>
      <c r="X174" s="1">
        <v>0</v>
      </c>
      <c r="Y174" s="1">
        <v>129646</v>
      </c>
      <c r="Z174" s="1">
        <v>0</v>
      </c>
      <c r="AA174" s="1">
        <v>76083</v>
      </c>
      <c r="AB174" s="1">
        <v>0</v>
      </c>
      <c r="AC174" s="1">
        <v>190178</v>
      </c>
      <c r="AD174" s="1">
        <v>0</v>
      </c>
      <c r="AE174" s="1">
        <f t="shared" si="10"/>
        <v>2815147</v>
      </c>
      <c r="AF174" s="9">
        <f t="shared" si="11"/>
        <v>7.4153854132661637E-2</v>
      </c>
      <c r="AG174" s="9">
        <f t="shared" si="12"/>
        <v>5.4501594410522793E-3</v>
      </c>
      <c r="AH174" s="9">
        <f t="shared" si="13"/>
        <v>1.0970652687053287E-2</v>
      </c>
      <c r="AI174" s="9">
        <f t="shared" si="14"/>
        <v>1.3844747716549083E-2</v>
      </c>
      <c r="AJ174" s="1" t="str">
        <f>IF(VLOOKUP(A174,Hospital!A:C,3,FALSE)="H","Hospital","Freestanding")</f>
        <v>Freestanding</v>
      </c>
      <c r="AK174" s="1">
        <v>2024</v>
      </c>
    </row>
    <row r="175" spans="1:37">
      <c r="A175" s="1">
        <v>48001</v>
      </c>
      <c r="B175" s="1" t="s">
        <v>340</v>
      </c>
      <c r="C175" s="1">
        <v>341155</v>
      </c>
      <c r="D175" s="1">
        <v>3276</v>
      </c>
      <c r="E175" s="1">
        <v>23758</v>
      </c>
      <c r="F175" s="1">
        <v>92526</v>
      </c>
      <c r="G175" s="1">
        <v>287716</v>
      </c>
      <c r="H175" s="1">
        <v>624066</v>
      </c>
      <c r="I175" s="1">
        <v>468705</v>
      </c>
      <c r="J175" s="1">
        <v>1533281</v>
      </c>
      <c r="K175" s="1">
        <v>78028</v>
      </c>
      <c r="L175" s="1">
        <v>134713</v>
      </c>
      <c r="M175" s="1">
        <v>0</v>
      </c>
      <c r="N175" s="1">
        <v>122520</v>
      </c>
      <c r="O175" s="1">
        <v>281193</v>
      </c>
      <c r="P175" s="1">
        <v>107440</v>
      </c>
      <c r="Q175" s="1">
        <v>87737</v>
      </c>
      <c r="R175" s="1">
        <v>0</v>
      </c>
      <c r="S175" s="1">
        <v>0</v>
      </c>
      <c r="T175" s="1">
        <v>0</v>
      </c>
      <c r="U175" s="1">
        <v>434992</v>
      </c>
      <c r="V175" s="1">
        <v>0</v>
      </c>
      <c r="W175" s="1">
        <v>65506</v>
      </c>
      <c r="X175" s="1">
        <v>0</v>
      </c>
      <c r="Y175" s="1">
        <v>93482</v>
      </c>
      <c r="Z175" s="1">
        <v>0</v>
      </c>
      <c r="AA175" s="1">
        <v>116159</v>
      </c>
      <c r="AB175" s="1">
        <v>0</v>
      </c>
      <c r="AC175" s="1">
        <v>299916</v>
      </c>
      <c r="AD175" s="1">
        <v>0</v>
      </c>
      <c r="AE175" s="1">
        <f t="shared" si="10"/>
        <v>4735454</v>
      </c>
      <c r="AF175" s="9">
        <f t="shared" si="11"/>
        <v>7.2042722830799322E-2</v>
      </c>
      <c r="AG175" s="9">
        <f t="shared" si="12"/>
        <v>6.9180272894636924E-4</v>
      </c>
      <c r="AH175" s="9">
        <f t="shared" si="13"/>
        <v>5.0170479958204645E-3</v>
      </c>
      <c r="AI175" s="9">
        <f t="shared" si="14"/>
        <v>1.9538992459857071E-2</v>
      </c>
      <c r="AJ175" s="1" t="str">
        <f>IF(VLOOKUP(A175,Hospital!A:C,3,FALSE)="H","Hospital","Freestanding")</f>
        <v>Freestanding</v>
      </c>
      <c r="AK175" s="1">
        <v>2024</v>
      </c>
    </row>
    <row r="176" spans="1:37">
      <c r="A176" s="1">
        <v>48002</v>
      </c>
      <c r="B176" s="1" t="s">
        <v>341</v>
      </c>
      <c r="C176" s="1">
        <v>467584</v>
      </c>
      <c r="D176" s="1">
        <v>37084</v>
      </c>
      <c r="E176" s="1">
        <v>203324</v>
      </c>
      <c r="F176" s="1">
        <v>127284</v>
      </c>
      <c r="G176" s="1">
        <v>356092</v>
      </c>
      <c r="H176" s="1">
        <v>1070331</v>
      </c>
      <c r="I176" s="1">
        <v>867370</v>
      </c>
      <c r="J176" s="1">
        <v>1666596</v>
      </c>
      <c r="K176" s="1">
        <v>223418</v>
      </c>
      <c r="L176" s="1">
        <v>162486</v>
      </c>
      <c r="M176" s="1">
        <v>0</v>
      </c>
      <c r="N176" s="1">
        <v>162447</v>
      </c>
      <c r="O176" s="1">
        <v>179698</v>
      </c>
      <c r="P176" s="1">
        <v>254237</v>
      </c>
      <c r="Q176" s="1">
        <v>79645</v>
      </c>
      <c r="R176" s="1">
        <v>0</v>
      </c>
      <c r="S176" s="1">
        <v>0</v>
      </c>
      <c r="T176" s="1">
        <v>0</v>
      </c>
      <c r="U176" s="1">
        <v>615426</v>
      </c>
      <c r="V176" s="1">
        <v>0</v>
      </c>
      <c r="W176" s="1">
        <v>49641</v>
      </c>
      <c r="X176" s="1">
        <v>0</v>
      </c>
      <c r="Y176" s="1">
        <v>127387</v>
      </c>
      <c r="Z176" s="1">
        <v>0</v>
      </c>
      <c r="AA176" s="1">
        <v>145988</v>
      </c>
      <c r="AB176" s="1">
        <v>0</v>
      </c>
      <c r="AC176" s="1">
        <v>338352</v>
      </c>
      <c r="AD176" s="1">
        <v>0</v>
      </c>
      <c r="AE176" s="1">
        <f t="shared" si="10"/>
        <v>6299114</v>
      </c>
      <c r="AF176" s="9">
        <f t="shared" si="11"/>
        <v>7.4230121886982831E-2</v>
      </c>
      <c r="AG176" s="9">
        <f t="shared" si="12"/>
        <v>5.8871771490403256E-3</v>
      </c>
      <c r="AH176" s="9">
        <f t="shared" si="13"/>
        <v>3.2278190234372645E-2</v>
      </c>
      <c r="AI176" s="9">
        <f t="shared" si="14"/>
        <v>2.0206651284609231E-2</v>
      </c>
      <c r="AJ176" s="1" t="str">
        <f>IF(VLOOKUP(A176,Hospital!A:C,3,FALSE)="H","Hospital","Freestanding")</f>
        <v>Freestanding</v>
      </c>
      <c r="AK176" s="1">
        <v>2024</v>
      </c>
    </row>
    <row r="177" spans="1:37">
      <c r="A177" s="1">
        <v>48003</v>
      </c>
      <c r="B177" s="1" t="s">
        <v>342</v>
      </c>
      <c r="C177" s="1">
        <v>0</v>
      </c>
      <c r="D177" s="1">
        <v>0</v>
      </c>
      <c r="E177" s="1">
        <v>0</v>
      </c>
      <c r="F177" s="1">
        <v>0</v>
      </c>
      <c r="G177" s="1">
        <v>110940</v>
      </c>
      <c r="H177" s="1">
        <v>674860</v>
      </c>
      <c r="I177" s="1">
        <v>263128</v>
      </c>
      <c r="J177" s="1">
        <v>437328</v>
      </c>
      <c r="K177" s="1">
        <v>0</v>
      </c>
      <c r="L177" s="1">
        <v>16768</v>
      </c>
      <c r="M177" s="1">
        <v>0</v>
      </c>
      <c r="N177" s="1">
        <v>73414</v>
      </c>
      <c r="O177" s="1">
        <v>119687</v>
      </c>
      <c r="P177" s="1">
        <v>7754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f t="shared" si="10"/>
        <v>1703879</v>
      </c>
      <c r="AF177" s="9">
        <f t="shared" si="11"/>
        <v>0</v>
      </c>
      <c r="AG177" s="9">
        <f t="shared" si="12"/>
        <v>0</v>
      </c>
      <c r="AH177" s="9">
        <f t="shared" si="13"/>
        <v>0</v>
      </c>
      <c r="AI177" s="9">
        <f t="shared" si="14"/>
        <v>0</v>
      </c>
      <c r="AJ177" s="1" t="str">
        <f>IF(VLOOKUP(A177,Hospital!A:C,3,FALSE)="H","Hospital","Freestanding")</f>
        <v>Hospital</v>
      </c>
      <c r="AK177" s="1">
        <v>2024</v>
      </c>
    </row>
    <row r="178" spans="1:37">
      <c r="A178" s="1">
        <v>49001</v>
      </c>
      <c r="B178" s="1" t="s">
        <v>343</v>
      </c>
      <c r="C178" s="1">
        <v>292782</v>
      </c>
      <c r="D178" s="1">
        <v>20021</v>
      </c>
      <c r="E178" s="1">
        <v>116144</v>
      </c>
      <c r="F178" s="1">
        <v>91867</v>
      </c>
      <c r="G178" s="1">
        <v>191837</v>
      </c>
      <c r="H178" s="1">
        <v>606158</v>
      </c>
      <c r="I178" s="1">
        <v>234224</v>
      </c>
      <c r="J178" s="1">
        <v>1378425</v>
      </c>
      <c r="K178" s="1">
        <v>238951</v>
      </c>
      <c r="L178" s="1">
        <v>99624</v>
      </c>
      <c r="M178" s="1">
        <v>0</v>
      </c>
      <c r="N178" s="1">
        <v>1752</v>
      </c>
      <c r="O178" s="1">
        <v>225153</v>
      </c>
      <c r="P178" s="1">
        <v>0</v>
      </c>
      <c r="Q178" s="1">
        <v>0</v>
      </c>
      <c r="R178" s="1">
        <v>8312</v>
      </c>
      <c r="S178" s="1">
        <v>0</v>
      </c>
      <c r="T178" s="1">
        <v>0</v>
      </c>
      <c r="U178" s="1">
        <v>357709</v>
      </c>
      <c r="V178" s="1">
        <v>1650</v>
      </c>
      <c r="W178" s="1">
        <v>36966</v>
      </c>
      <c r="X178" s="1">
        <v>-1911</v>
      </c>
      <c r="Y178" s="1">
        <v>140996</v>
      </c>
      <c r="Z178" s="1">
        <v>4698</v>
      </c>
      <c r="AA178" s="1">
        <v>104234</v>
      </c>
      <c r="AB178" s="1">
        <v>5329</v>
      </c>
      <c r="AC178" s="1">
        <v>225889</v>
      </c>
      <c r="AD178" s="1">
        <v>1695</v>
      </c>
      <c r="AE178" s="1">
        <f t="shared" si="10"/>
        <v>3861691</v>
      </c>
      <c r="AF178" s="9">
        <f t="shared" si="11"/>
        <v>7.5817044916333287E-2</v>
      </c>
      <c r="AG178" s="9">
        <f t="shared" si="12"/>
        <v>5.1845163168156129E-3</v>
      </c>
      <c r="AH178" s="9">
        <f t="shared" si="13"/>
        <v>3.0075943414426477E-2</v>
      </c>
      <c r="AI178" s="9">
        <f t="shared" si="14"/>
        <v>2.3789319238644416E-2</v>
      </c>
      <c r="AJ178" s="1" t="str">
        <f>IF(VLOOKUP(A178,Hospital!A:C,3,FALSE)="H","Hospital","Freestanding")</f>
        <v>Freestanding</v>
      </c>
      <c r="AK178" s="1">
        <v>2024</v>
      </c>
    </row>
    <row r="179" spans="1:37">
      <c r="A179" s="1">
        <v>49002</v>
      </c>
      <c r="B179" s="1" t="s">
        <v>344</v>
      </c>
      <c r="C179" s="1">
        <v>541602</v>
      </c>
      <c r="D179" s="1">
        <v>23267</v>
      </c>
      <c r="E179" s="1">
        <v>139856</v>
      </c>
      <c r="F179" s="1">
        <v>133365</v>
      </c>
      <c r="G179" s="1">
        <v>576172</v>
      </c>
      <c r="H179" s="1">
        <v>835440</v>
      </c>
      <c r="I179" s="1">
        <v>629867</v>
      </c>
      <c r="J179" s="1">
        <v>1863943</v>
      </c>
      <c r="K179" s="1">
        <v>299290</v>
      </c>
      <c r="L179" s="1">
        <v>361367</v>
      </c>
      <c r="M179" s="1">
        <v>0</v>
      </c>
      <c r="N179" s="1">
        <v>36039</v>
      </c>
      <c r="O179" s="1">
        <v>684003</v>
      </c>
      <c r="P179" s="1">
        <v>55189</v>
      </c>
      <c r="Q179" s="1">
        <v>0</v>
      </c>
      <c r="R179" s="1">
        <v>0</v>
      </c>
      <c r="S179" s="1">
        <v>0</v>
      </c>
      <c r="T179" s="1">
        <v>0</v>
      </c>
      <c r="U179" s="1">
        <v>551381</v>
      </c>
      <c r="V179" s="1">
        <v>0</v>
      </c>
      <c r="W179" s="1">
        <v>45408</v>
      </c>
      <c r="X179" s="1">
        <v>0</v>
      </c>
      <c r="Y179" s="1">
        <v>314688</v>
      </c>
      <c r="Z179" s="1">
        <v>0</v>
      </c>
      <c r="AA179" s="1">
        <v>73618</v>
      </c>
      <c r="AB179" s="1">
        <v>0</v>
      </c>
      <c r="AC179" s="1">
        <v>505150</v>
      </c>
      <c r="AD179" s="1">
        <v>0</v>
      </c>
      <c r="AE179" s="1">
        <f t="shared" si="10"/>
        <v>6831555</v>
      </c>
      <c r="AF179" s="9">
        <f t="shared" si="11"/>
        <v>7.9279461264675471E-2</v>
      </c>
      <c r="AG179" s="9">
        <f t="shared" si="12"/>
        <v>3.4058131713789906E-3</v>
      </c>
      <c r="AH179" s="9">
        <f t="shared" si="13"/>
        <v>2.0472059435955651E-2</v>
      </c>
      <c r="AI179" s="9">
        <f t="shared" si="14"/>
        <v>1.9521909726262908E-2</v>
      </c>
      <c r="AJ179" s="1" t="str">
        <f>IF(VLOOKUP(A179,Hospital!A:C,3,FALSE)="H","Hospital","Freestanding")</f>
        <v>Freestanding</v>
      </c>
      <c r="AK179" s="1">
        <v>2024</v>
      </c>
    </row>
    <row r="180" spans="1:37">
      <c r="A180" s="1">
        <v>49003</v>
      </c>
      <c r="B180" s="1" t="s">
        <v>345</v>
      </c>
      <c r="C180" s="1">
        <v>185917</v>
      </c>
      <c r="D180" s="1">
        <v>9588</v>
      </c>
      <c r="E180" s="1">
        <v>34136</v>
      </c>
      <c r="F180" s="1">
        <v>59183</v>
      </c>
      <c r="G180" s="1">
        <v>233922</v>
      </c>
      <c r="H180" s="1">
        <v>310097</v>
      </c>
      <c r="I180" s="1">
        <v>146919</v>
      </c>
      <c r="J180" s="1">
        <v>752330</v>
      </c>
      <c r="K180" s="1">
        <v>228297</v>
      </c>
      <c r="L180" s="1">
        <v>72877</v>
      </c>
      <c r="M180" s="1">
        <v>0</v>
      </c>
      <c r="N180" s="1">
        <v>62600</v>
      </c>
      <c r="O180" s="1">
        <v>119621</v>
      </c>
      <c r="P180" s="1">
        <v>0</v>
      </c>
      <c r="Q180" s="1">
        <v>0</v>
      </c>
      <c r="R180" s="1">
        <v>12211</v>
      </c>
      <c r="S180" s="1">
        <v>0</v>
      </c>
      <c r="T180" s="1">
        <v>0</v>
      </c>
      <c r="U180" s="1">
        <v>251844</v>
      </c>
      <c r="V180" s="1">
        <v>3241</v>
      </c>
      <c r="W180" s="1">
        <v>28006</v>
      </c>
      <c r="X180" s="1">
        <v>1016</v>
      </c>
      <c r="Y180" s="1">
        <v>85971</v>
      </c>
      <c r="Z180" s="1">
        <v>2190</v>
      </c>
      <c r="AA180" s="1">
        <v>51625</v>
      </c>
      <c r="AB180" s="1">
        <v>80</v>
      </c>
      <c r="AC180" s="1">
        <v>163172</v>
      </c>
      <c r="AD180" s="1">
        <v>197</v>
      </c>
      <c r="AE180" s="1">
        <f t="shared" si="10"/>
        <v>2526216</v>
      </c>
      <c r="AF180" s="9">
        <f t="shared" si="11"/>
        <v>7.3595052837920436E-2</v>
      </c>
      <c r="AG180" s="9">
        <f t="shared" si="12"/>
        <v>3.7953999182967729E-3</v>
      </c>
      <c r="AH180" s="9">
        <f t="shared" si="13"/>
        <v>1.351270041833319E-2</v>
      </c>
      <c r="AI180" s="9">
        <f t="shared" si="14"/>
        <v>2.3427529554084052E-2</v>
      </c>
      <c r="AJ180" s="1" t="str">
        <f>IF(VLOOKUP(A180,Hospital!A:C,3,FALSE)="H","Hospital","Freestanding")</f>
        <v>Freestanding</v>
      </c>
      <c r="AK180" s="1">
        <v>2024</v>
      </c>
    </row>
    <row r="181" spans="1:37">
      <c r="A181" s="1">
        <v>50001</v>
      </c>
      <c r="B181" s="1" t="s">
        <v>346</v>
      </c>
      <c r="C181" s="1">
        <v>279917</v>
      </c>
      <c r="D181" s="1">
        <v>4071</v>
      </c>
      <c r="E181" s="1">
        <v>195076</v>
      </c>
      <c r="F181" s="1">
        <v>73998</v>
      </c>
      <c r="G181" s="1">
        <v>293753</v>
      </c>
      <c r="H181" s="1">
        <v>582646</v>
      </c>
      <c r="I181" s="1">
        <v>679442</v>
      </c>
      <c r="J181" s="1">
        <v>1861677</v>
      </c>
      <c r="K181" s="1">
        <v>38351</v>
      </c>
      <c r="L181" s="1">
        <v>115875</v>
      </c>
      <c r="M181" s="1">
        <v>0</v>
      </c>
      <c r="N181" s="1">
        <v>131719</v>
      </c>
      <c r="O181" s="1">
        <v>156957</v>
      </c>
      <c r="P181" s="1">
        <v>0</v>
      </c>
      <c r="Q181" s="1">
        <v>0</v>
      </c>
      <c r="R181" s="1">
        <v>23825</v>
      </c>
      <c r="S181" s="1">
        <v>0</v>
      </c>
      <c r="T181" s="1">
        <v>0</v>
      </c>
      <c r="U181" s="1">
        <v>328140</v>
      </c>
      <c r="V181" s="1">
        <v>566</v>
      </c>
      <c r="W181" s="1">
        <v>79929</v>
      </c>
      <c r="X181" s="1">
        <v>1426</v>
      </c>
      <c r="Y181" s="1">
        <v>151826</v>
      </c>
      <c r="Z181" s="1">
        <v>803</v>
      </c>
      <c r="AA181" s="1">
        <v>123130</v>
      </c>
      <c r="AB181" s="1">
        <v>-468</v>
      </c>
      <c r="AC181" s="1">
        <v>303171</v>
      </c>
      <c r="AD181" s="1">
        <v>3336</v>
      </c>
      <c r="AE181" s="1">
        <f t="shared" si="10"/>
        <v>4876104</v>
      </c>
      <c r="AF181" s="9">
        <f t="shared" si="11"/>
        <v>5.7405871572878672E-2</v>
      </c>
      <c r="AG181" s="9">
        <f t="shared" si="12"/>
        <v>8.3488785308926967E-4</v>
      </c>
      <c r="AH181" s="9">
        <f t="shared" si="13"/>
        <v>4.0006529803301979E-2</v>
      </c>
      <c r="AI181" s="9">
        <f t="shared" si="14"/>
        <v>1.5175640224244601E-2</v>
      </c>
      <c r="AJ181" s="1" t="str">
        <f>IF(VLOOKUP(A181,Hospital!A:C,3,FALSE)="H","Hospital","Freestanding")</f>
        <v>Freestanding</v>
      </c>
      <c r="AK181" s="1">
        <v>2024</v>
      </c>
    </row>
    <row r="182" spans="1:37">
      <c r="A182" s="1">
        <v>50003</v>
      </c>
      <c r="B182" s="1" t="s">
        <v>347</v>
      </c>
      <c r="C182" s="1">
        <v>177228</v>
      </c>
      <c r="D182" s="1">
        <v>0</v>
      </c>
      <c r="E182" s="1">
        <v>26920</v>
      </c>
      <c r="F182" s="1">
        <v>149937</v>
      </c>
      <c r="G182" s="1">
        <v>299822</v>
      </c>
      <c r="H182" s="1">
        <v>321462</v>
      </c>
      <c r="I182" s="1">
        <v>303121</v>
      </c>
      <c r="J182" s="1">
        <v>769174</v>
      </c>
      <c r="K182" s="1">
        <v>194799</v>
      </c>
      <c r="L182" s="1">
        <v>76570</v>
      </c>
      <c r="M182" s="1">
        <v>0</v>
      </c>
      <c r="N182" s="1">
        <v>74811</v>
      </c>
      <c r="O182" s="1">
        <v>69301</v>
      </c>
      <c r="P182" s="1">
        <v>0</v>
      </c>
      <c r="Q182" s="1">
        <v>0</v>
      </c>
      <c r="R182" s="1">
        <v>7232</v>
      </c>
      <c r="S182" s="1">
        <v>0</v>
      </c>
      <c r="T182" s="1">
        <v>0</v>
      </c>
      <c r="U182" s="1">
        <v>179856</v>
      </c>
      <c r="V182" s="1">
        <v>-9595</v>
      </c>
      <c r="W182" s="1">
        <v>40305</v>
      </c>
      <c r="X182" s="1">
        <v>5141</v>
      </c>
      <c r="Y182" s="1">
        <v>110279</v>
      </c>
      <c r="Z182" s="1">
        <v>-1840</v>
      </c>
      <c r="AA182" s="1">
        <v>143331</v>
      </c>
      <c r="AB182" s="1">
        <v>5991</v>
      </c>
      <c r="AC182" s="1">
        <v>310549</v>
      </c>
      <c r="AD182" s="1">
        <v>-17714</v>
      </c>
      <c r="AE182" s="1">
        <f t="shared" si="10"/>
        <v>2882595</v>
      </c>
      <c r="AF182" s="9">
        <f t="shared" si="11"/>
        <v>6.1482102064285823E-2</v>
      </c>
      <c r="AG182" s="9">
        <f t="shared" si="12"/>
        <v>0</v>
      </c>
      <c r="AH182" s="9">
        <f t="shared" si="13"/>
        <v>9.3388075674869352E-3</v>
      </c>
      <c r="AI182" s="9">
        <f t="shared" si="14"/>
        <v>5.201459101955009E-2</v>
      </c>
      <c r="AJ182" s="1" t="str">
        <f>IF(VLOOKUP(A182,Hospital!A:C,3,FALSE)="H","Hospital","Freestanding")</f>
        <v>Freestanding</v>
      </c>
      <c r="AK182" s="1">
        <v>2024</v>
      </c>
    </row>
    <row r="183" spans="1:37">
      <c r="A183" s="1">
        <v>50005</v>
      </c>
      <c r="B183" s="1" t="s">
        <v>348</v>
      </c>
      <c r="C183" s="1">
        <v>128660</v>
      </c>
      <c r="D183" s="1">
        <v>14702</v>
      </c>
      <c r="E183" s="1">
        <v>48169</v>
      </c>
      <c r="F183" s="1">
        <v>0</v>
      </c>
      <c r="G183" s="1">
        <v>164344</v>
      </c>
      <c r="H183" s="1">
        <v>379579</v>
      </c>
      <c r="I183" s="1">
        <v>83185</v>
      </c>
      <c r="J183" s="1">
        <v>536553</v>
      </c>
      <c r="K183" s="1">
        <v>14883</v>
      </c>
      <c r="L183" s="1">
        <v>50768</v>
      </c>
      <c r="M183" s="1">
        <v>0</v>
      </c>
      <c r="N183" s="1">
        <v>50624</v>
      </c>
      <c r="O183" s="1">
        <v>84258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148196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37096</v>
      </c>
      <c r="AB183" s="1">
        <v>0</v>
      </c>
      <c r="AC183" s="1">
        <v>179464</v>
      </c>
      <c r="AD183" s="1">
        <v>0</v>
      </c>
      <c r="AE183" s="1">
        <f t="shared" si="10"/>
        <v>1728950</v>
      </c>
      <c r="AF183" s="9">
        <f t="shared" si="11"/>
        <v>7.4415107435148495E-2</v>
      </c>
      <c r="AG183" s="9">
        <f t="shared" si="12"/>
        <v>8.5034269354232334E-3</v>
      </c>
      <c r="AH183" s="9">
        <f t="shared" si="13"/>
        <v>2.7860262008733625E-2</v>
      </c>
      <c r="AI183" s="9">
        <f t="shared" si="14"/>
        <v>0</v>
      </c>
      <c r="AJ183" s="1" t="str">
        <f>IF(VLOOKUP(A183,Hospital!A:C,3,FALSE)="H","Hospital","Freestanding")</f>
        <v>Freestanding</v>
      </c>
      <c r="AK183" s="1">
        <v>2024</v>
      </c>
    </row>
    <row r="184" spans="1:37">
      <c r="A184" s="1">
        <v>50006</v>
      </c>
      <c r="B184" s="1" t="s">
        <v>349</v>
      </c>
      <c r="C184" s="1">
        <v>236939</v>
      </c>
      <c r="D184" s="1">
        <v>0</v>
      </c>
      <c r="E184" s="1">
        <v>639</v>
      </c>
      <c r="F184" s="1">
        <v>112151</v>
      </c>
      <c r="G184" s="1">
        <v>151816</v>
      </c>
      <c r="H184" s="1">
        <v>611979</v>
      </c>
      <c r="I184" s="1">
        <v>337389</v>
      </c>
      <c r="J184" s="1">
        <v>939777</v>
      </c>
      <c r="K184" s="1">
        <v>215241</v>
      </c>
      <c r="L184" s="1">
        <v>72188</v>
      </c>
      <c r="M184" s="1">
        <v>0</v>
      </c>
      <c r="N184" s="1">
        <v>103222</v>
      </c>
      <c r="O184" s="1">
        <v>38129</v>
      </c>
      <c r="P184" s="1">
        <v>0</v>
      </c>
      <c r="Q184" s="1">
        <v>0</v>
      </c>
      <c r="R184" s="1">
        <v>6854</v>
      </c>
      <c r="S184" s="1">
        <v>0</v>
      </c>
      <c r="T184" s="1">
        <v>0</v>
      </c>
      <c r="U184" s="1">
        <v>247178</v>
      </c>
      <c r="V184" s="1">
        <v>-378</v>
      </c>
      <c r="W184" s="1">
        <v>0</v>
      </c>
      <c r="X184" s="1">
        <v>0</v>
      </c>
      <c r="Y184" s="1">
        <v>67862</v>
      </c>
      <c r="Z184" s="1">
        <v>-693</v>
      </c>
      <c r="AA184" s="1">
        <v>61784</v>
      </c>
      <c r="AB184" s="1">
        <v>582</v>
      </c>
      <c r="AC184" s="1">
        <v>211707</v>
      </c>
      <c r="AD184" s="1">
        <v>-619</v>
      </c>
      <c r="AE184" s="1">
        <f t="shared" si="10"/>
        <v>3064018</v>
      </c>
      <c r="AF184" s="9">
        <f t="shared" si="11"/>
        <v>7.7329506549896246E-2</v>
      </c>
      <c r="AG184" s="9">
        <f t="shared" si="12"/>
        <v>0</v>
      </c>
      <c r="AH184" s="9">
        <f t="shared" si="13"/>
        <v>2.0854968867676366E-4</v>
      </c>
      <c r="AI184" s="9">
        <f t="shared" si="14"/>
        <v>3.6602591760231173E-2</v>
      </c>
      <c r="AJ184" s="1" t="str">
        <f>IF(VLOOKUP(A184,Hospital!A:C,3,FALSE)="H","Hospital","Freestanding")</f>
        <v>Freestanding</v>
      </c>
      <c r="AK184" s="1">
        <v>2024</v>
      </c>
    </row>
    <row r="185" spans="1:37">
      <c r="A185" s="1">
        <v>51002</v>
      </c>
      <c r="B185" s="1" t="s">
        <v>350</v>
      </c>
      <c r="C185" s="1">
        <v>133978</v>
      </c>
      <c r="D185" s="1">
        <v>142</v>
      </c>
      <c r="E185" s="1">
        <v>57900</v>
      </c>
      <c r="F185" s="1">
        <v>29074</v>
      </c>
      <c r="G185" s="1">
        <v>201011</v>
      </c>
      <c r="H185" s="1">
        <v>114256</v>
      </c>
      <c r="I185" s="1">
        <v>368171</v>
      </c>
      <c r="J185" s="1">
        <v>558483</v>
      </c>
      <c r="K185" s="1">
        <v>35434</v>
      </c>
      <c r="L185" s="1">
        <v>32442</v>
      </c>
      <c r="M185" s="1">
        <v>0</v>
      </c>
      <c r="N185" s="1">
        <v>46487</v>
      </c>
      <c r="O185" s="1">
        <v>101831</v>
      </c>
      <c r="P185" s="1">
        <v>0</v>
      </c>
      <c r="Q185" s="1">
        <v>0</v>
      </c>
      <c r="R185" s="1">
        <v>31810</v>
      </c>
      <c r="S185" s="1">
        <v>0</v>
      </c>
      <c r="T185" s="1">
        <v>0</v>
      </c>
      <c r="U185" s="1">
        <v>403280</v>
      </c>
      <c r="V185" s="1">
        <v>2929</v>
      </c>
      <c r="W185" s="1">
        <v>59768</v>
      </c>
      <c r="X185" s="1">
        <v>1533</v>
      </c>
      <c r="Y185" s="1">
        <v>122331</v>
      </c>
      <c r="Z185" s="1">
        <v>99</v>
      </c>
      <c r="AA185" s="1">
        <v>54931</v>
      </c>
      <c r="AB185" s="1">
        <v>1822</v>
      </c>
      <c r="AC185" s="1">
        <v>255514</v>
      </c>
      <c r="AD185" s="1">
        <v>4241</v>
      </c>
      <c r="AE185" s="1">
        <f t="shared" si="10"/>
        <v>2396373</v>
      </c>
      <c r="AF185" s="9">
        <f t="shared" si="11"/>
        <v>5.5908658627016744E-2</v>
      </c>
      <c r="AG185" s="9">
        <f t="shared" si="12"/>
        <v>5.9256217625553283E-5</v>
      </c>
      <c r="AH185" s="9">
        <f t="shared" si="13"/>
        <v>2.4161514088165741E-2</v>
      </c>
      <c r="AI185" s="9">
        <f t="shared" si="14"/>
        <v>1.2132501910178424E-2</v>
      </c>
      <c r="AJ185" s="1" t="str">
        <f>IF(VLOOKUP(A185,Hospital!A:C,3,FALSE)="H","Hospital","Freestanding")</f>
        <v>Freestanding</v>
      </c>
      <c r="AK185" s="1">
        <v>2024</v>
      </c>
    </row>
    <row r="186" spans="1:37">
      <c r="A186" s="1">
        <v>52003</v>
      </c>
      <c r="B186" s="1" t="s">
        <v>351</v>
      </c>
      <c r="C186" s="1">
        <v>274816</v>
      </c>
      <c r="D186" s="1">
        <v>10330</v>
      </c>
      <c r="E186" s="1">
        <v>1562</v>
      </c>
      <c r="F186" s="1">
        <v>52200</v>
      </c>
      <c r="G186" s="1">
        <v>264337</v>
      </c>
      <c r="H186" s="1">
        <v>702211</v>
      </c>
      <c r="I186" s="1">
        <v>181766</v>
      </c>
      <c r="J186" s="1">
        <v>1114194</v>
      </c>
      <c r="K186" s="1">
        <v>178545</v>
      </c>
      <c r="L186" s="1">
        <v>93031</v>
      </c>
      <c r="M186" s="1">
        <v>0</v>
      </c>
      <c r="N186" s="1">
        <v>135950</v>
      </c>
      <c r="O186" s="1">
        <v>71697</v>
      </c>
      <c r="P186" s="1">
        <v>16270</v>
      </c>
      <c r="Q186" s="1">
        <v>66361</v>
      </c>
      <c r="R186" s="1">
        <v>34934</v>
      </c>
      <c r="S186" s="1">
        <v>0</v>
      </c>
      <c r="T186" s="1">
        <v>0</v>
      </c>
      <c r="U186" s="1">
        <v>391215</v>
      </c>
      <c r="V186" s="1">
        <v>5922</v>
      </c>
      <c r="W186" s="1">
        <v>28428</v>
      </c>
      <c r="X186" s="1">
        <v>4077</v>
      </c>
      <c r="Y186" s="1">
        <v>154495</v>
      </c>
      <c r="Z186" s="1">
        <v>658</v>
      </c>
      <c r="AA186" s="1">
        <v>54433</v>
      </c>
      <c r="AB186" s="1">
        <v>204</v>
      </c>
      <c r="AC186" s="1">
        <v>247339</v>
      </c>
      <c r="AD186" s="1">
        <v>451</v>
      </c>
      <c r="AE186" s="1">
        <f t="shared" si="10"/>
        <v>3746518</v>
      </c>
      <c r="AF186" s="9">
        <f t="shared" si="11"/>
        <v>7.3352376793598753E-2</v>
      </c>
      <c r="AG186" s="9">
        <f t="shared" si="12"/>
        <v>2.7572268436986021E-3</v>
      </c>
      <c r="AH186" s="9">
        <f t="shared" si="13"/>
        <v>4.169204578758196E-4</v>
      </c>
      <c r="AI186" s="9">
        <f t="shared" si="14"/>
        <v>1.3932937196618299E-2</v>
      </c>
      <c r="AJ186" s="1" t="str">
        <f>IF(VLOOKUP(A186,Hospital!A:C,3,FALSE)="H","Hospital","Freestanding")</f>
        <v>Freestanding</v>
      </c>
      <c r="AK186" s="1">
        <v>2024</v>
      </c>
    </row>
    <row r="187" spans="1:37">
      <c r="A187" s="1">
        <v>53004</v>
      </c>
      <c r="B187" s="1" t="s">
        <v>352</v>
      </c>
      <c r="C187" s="1">
        <v>114341</v>
      </c>
      <c r="D187" s="1">
        <v>23100</v>
      </c>
      <c r="E187" s="1">
        <v>33868</v>
      </c>
      <c r="F187" s="1">
        <v>7099</v>
      </c>
      <c r="G187" s="1">
        <v>178282</v>
      </c>
      <c r="H187" s="1">
        <v>35103</v>
      </c>
      <c r="I187" s="1">
        <v>256776</v>
      </c>
      <c r="J187" s="1">
        <v>289178</v>
      </c>
      <c r="K187" s="1">
        <v>39071</v>
      </c>
      <c r="L187" s="1">
        <v>31575</v>
      </c>
      <c r="M187" s="1">
        <v>0</v>
      </c>
      <c r="N187" s="1">
        <v>75511</v>
      </c>
      <c r="O187" s="1">
        <v>41066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148233</v>
      </c>
      <c r="V187" s="1">
        <v>0</v>
      </c>
      <c r="W187" s="1">
        <v>31873</v>
      </c>
      <c r="X187" s="1">
        <v>0</v>
      </c>
      <c r="Y187" s="1">
        <v>146296</v>
      </c>
      <c r="Z187" s="1">
        <v>0</v>
      </c>
      <c r="AA187" s="1">
        <v>35883</v>
      </c>
      <c r="AB187" s="1">
        <v>0</v>
      </c>
      <c r="AC187" s="1">
        <v>175523</v>
      </c>
      <c r="AD187" s="1">
        <v>0</v>
      </c>
      <c r="AE187" s="1">
        <f t="shared" si="10"/>
        <v>1484370</v>
      </c>
      <c r="AF187" s="9">
        <f t="shared" si="11"/>
        <v>7.7029985785215277E-2</v>
      </c>
      <c r="AG187" s="9">
        <f t="shared" si="12"/>
        <v>1.5562157683057458E-2</v>
      </c>
      <c r="AH187" s="9">
        <f t="shared" si="13"/>
        <v>2.2816413697393508E-2</v>
      </c>
      <c r="AI187" s="9">
        <f t="shared" si="14"/>
        <v>4.782500320001078E-3</v>
      </c>
      <c r="AJ187" s="1" t="str">
        <f>IF(VLOOKUP(A187,Hospital!A:C,3,FALSE)="H","Hospital","Freestanding")</f>
        <v>Freestanding</v>
      </c>
      <c r="AK187" s="1">
        <v>2024</v>
      </c>
    </row>
    <row r="188" spans="1:37">
      <c r="A188" s="1">
        <v>53005</v>
      </c>
      <c r="B188" s="1" t="s">
        <v>353</v>
      </c>
      <c r="C188" s="1">
        <v>118467</v>
      </c>
      <c r="D188" s="1">
        <v>0</v>
      </c>
      <c r="E188" s="1">
        <v>40437</v>
      </c>
      <c r="F188" s="1">
        <v>0</v>
      </c>
      <c r="G188" s="1">
        <v>140543</v>
      </c>
      <c r="H188" s="1">
        <v>206388</v>
      </c>
      <c r="I188" s="1">
        <v>103533</v>
      </c>
      <c r="J188" s="1">
        <v>533948</v>
      </c>
      <c r="K188" s="1">
        <v>8080</v>
      </c>
      <c r="L188" s="1">
        <v>0</v>
      </c>
      <c r="M188" s="1">
        <v>0</v>
      </c>
      <c r="N188" s="1">
        <v>36699</v>
      </c>
      <c r="O188" s="1">
        <v>54454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204782</v>
      </c>
      <c r="V188" s="1">
        <v>0</v>
      </c>
      <c r="W188" s="1">
        <v>27304</v>
      </c>
      <c r="X188" s="1">
        <v>0</v>
      </c>
      <c r="Y188" s="1">
        <v>61793</v>
      </c>
      <c r="Z188" s="1">
        <v>0</v>
      </c>
      <c r="AA188" s="1">
        <v>56434</v>
      </c>
      <c r="AB188" s="1">
        <v>0</v>
      </c>
      <c r="AC188" s="1">
        <v>202998</v>
      </c>
      <c r="AD188" s="1">
        <v>0</v>
      </c>
      <c r="AE188" s="1">
        <f t="shared" si="10"/>
        <v>1636956</v>
      </c>
      <c r="AF188" s="9">
        <f t="shared" si="11"/>
        <v>7.2370301950693855E-2</v>
      </c>
      <c r="AG188" s="9">
        <f t="shared" si="12"/>
        <v>0</v>
      </c>
      <c r="AH188" s="9">
        <f t="shared" si="13"/>
        <v>2.4702557674121967E-2</v>
      </c>
      <c r="AI188" s="9">
        <f t="shared" si="14"/>
        <v>0</v>
      </c>
      <c r="AJ188" s="1" t="str">
        <f>IF(VLOOKUP(A188,Hospital!A:C,3,FALSE)="H","Hospital","Freestanding")</f>
        <v>Freestanding</v>
      </c>
      <c r="AK188" s="1">
        <v>2024</v>
      </c>
    </row>
    <row r="189" spans="1:37">
      <c r="A189" s="1">
        <v>54002</v>
      </c>
      <c r="B189" s="1" t="s">
        <v>354</v>
      </c>
      <c r="C189" s="1">
        <v>234147</v>
      </c>
      <c r="D189" s="1">
        <v>4535</v>
      </c>
      <c r="E189" s="1">
        <v>31256</v>
      </c>
      <c r="F189" s="1">
        <v>47475</v>
      </c>
      <c r="G189" s="1">
        <v>112209</v>
      </c>
      <c r="H189" s="1">
        <v>472245</v>
      </c>
      <c r="I189" s="1">
        <v>370279</v>
      </c>
      <c r="J189" s="1">
        <v>818691</v>
      </c>
      <c r="K189" s="1">
        <v>176163</v>
      </c>
      <c r="L189" s="1">
        <v>53950</v>
      </c>
      <c r="M189" s="1">
        <v>0</v>
      </c>
      <c r="N189" s="1">
        <v>58968</v>
      </c>
      <c r="O189" s="1">
        <v>139155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274740</v>
      </c>
      <c r="V189" s="1">
        <v>0</v>
      </c>
      <c r="W189" s="1">
        <v>39064</v>
      </c>
      <c r="X189" s="1">
        <v>0</v>
      </c>
      <c r="Y189" s="1">
        <v>143756</v>
      </c>
      <c r="Z189" s="1">
        <v>0</v>
      </c>
      <c r="AA189" s="1">
        <v>111057</v>
      </c>
      <c r="AB189" s="1">
        <v>0</v>
      </c>
      <c r="AC189" s="1">
        <v>281215</v>
      </c>
      <c r="AD189" s="1">
        <v>0</v>
      </c>
      <c r="AE189" s="1">
        <f t="shared" si="10"/>
        <v>3051492</v>
      </c>
      <c r="AF189" s="9">
        <f t="shared" si="11"/>
        <v>7.6731972425292283E-2</v>
      </c>
      <c r="AG189" s="9">
        <f t="shared" si="12"/>
        <v>1.4861582465233402E-3</v>
      </c>
      <c r="AH189" s="9">
        <f t="shared" si="13"/>
        <v>1.0242858247703091E-2</v>
      </c>
      <c r="AI189" s="9">
        <f t="shared" si="14"/>
        <v>1.5557963120991305E-2</v>
      </c>
      <c r="AJ189" s="1" t="str">
        <f>IF(VLOOKUP(A189,Hospital!A:C,3,FALSE)="H","Hospital","Freestanding")</f>
        <v>Freestanding</v>
      </c>
      <c r="AK189" s="1">
        <v>2024</v>
      </c>
    </row>
    <row r="190" spans="1:37">
      <c r="A190" s="1">
        <v>54003</v>
      </c>
      <c r="B190" s="1" t="s">
        <v>355</v>
      </c>
      <c r="C190" s="1">
        <v>198693</v>
      </c>
      <c r="D190" s="1">
        <v>3204</v>
      </c>
      <c r="E190" s="1">
        <v>2515</v>
      </c>
      <c r="F190" s="1">
        <v>30141</v>
      </c>
      <c r="G190" s="1">
        <v>91163</v>
      </c>
      <c r="H190" s="1">
        <v>561682</v>
      </c>
      <c r="I190" s="1">
        <v>247246</v>
      </c>
      <c r="J190" s="1">
        <v>926222</v>
      </c>
      <c r="K190" s="1">
        <v>67419</v>
      </c>
      <c r="L190" s="1">
        <v>48315</v>
      </c>
      <c r="M190" s="1">
        <v>0</v>
      </c>
      <c r="N190" s="1">
        <v>49535</v>
      </c>
      <c r="O190" s="1">
        <v>116948</v>
      </c>
      <c r="P190" s="1">
        <v>41604</v>
      </c>
      <c r="Q190" s="1">
        <v>22256</v>
      </c>
      <c r="R190" s="1">
        <v>31530</v>
      </c>
      <c r="S190" s="1">
        <v>0</v>
      </c>
      <c r="T190" s="1">
        <v>0</v>
      </c>
      <c r="U190" s="1">
        <v>256936</v>
      </c>
      <c r="V190" s="1">
        <v>36</v>
      </c>
      <c r="W190" s="1">
        <v>2467</v>
      </c>
      <c r="X190" s="1">
        <v>0</v>
      </c>
      <c r="Y190" s="1">
        <v>71150</v>
      </c>
      <c r="Z190" s="1">
        <v>1430</v>
      </c>
      <c r="AA190" s="1">
        <v>4980</v>
      </c>
      <c r="AB190" s="1">
        <v>0</v>
      </c>
      <c r="AC190" s="1">
        <v>237223</v>
      </c>
      <c r="AD190" s="1">
        <v>1016</v>
      </c>
      <c r="AE190" s="1">
        <f t="shared" si="10"/>
        <v>2779158</v>
      </c>
      <c r="AF190" s="9">
        <f t="shared" si="11"/>
        <v>7.1493956083101426E-2</v>
      </c>
      <c r="AG190" s="9">
        <f t="shared" si="12"/>
        <v>1.1528671633638677E-3</v>
      </c>
      <c r="AH190" s="9">
        <f t="shared" si="13"/>
        <v>9.049503482709511E-4</v>
      </c>
      <c r="AI190" s="9">
        <f t="shared" si="14"/>
        <v>1.0845371151982003E-2</v>
      </c>
      <c r="AJ190" s="1" t="str">
        <f>IF(VLOOKUP(A190,Hospital!A:C,3,FALSE)="H","Hospital","Freestanding")</f>
        <v>Freestanding</v>
      </c>
      <c r="AK190" s="1">
        <v>2024</v>
      </c>
    </row>
    <row r="191" spans="1:37">
      <c r="A191" s="1">
        <v>55001</v>
      </c>
      <c r="B191" s="1" t="s">
        <v>356</v>
      </c>
      <c r="C191" s="1">
        <v>154084</v>
      </c>
      <c r="D191" s="1">
        <v>10707</v>
      </c>
      <c r="E191" s="1">
        <v>45954</v>
      </c>
      <c r="F191" s="1">
        <v>0</v>
      </c>
      <c r="G191" s="1">
        <v>259767</v>
      </c>
      <c r="H191" s="1">
        <v>547765</v>
      </c>
      <c r="I191" s="1">
        <v>119275</v>
      </c>
      <c r="J191" s="1">
        <v>661700</v>
      </c>
      <c r="K191" s="1">
        <v>43768</v>
      </c>
      <c r="L191" s="1">
        <v>50571</v>
      </c>
      <c r="M191" s="1">
        <v>0</v>
      </c>
      <c r="N191" s="1">
        <v>55800</v>
      </c>
      <c r="O191" s="1">
        <v>60163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56115</v>
      </c>
      <c r="AB191" s="1">
        <v>0</v>
      </c>
      <c r="AC191" s="1">
        <v>183172</v>
      </c>
      <c r="AD191" s="1">
        <v>0</v>
      </c>
      <c r="AE191" s="1">
        <f t="shared" si="10"/>
        <v>2038096</v>
      </c>
      <c r="AF191" s="9">
        <f t="shared" si="11"/>
        <v>7.5601934354417061E-2</v>
      </c>
      <c r="AG191" s="9">
        <f t="shared" si="12"/>
        <v>5.2534326155392087E-3</v>
      </c>
      <c r="AH191" s="9">
        <f t="shared" si="13"/>
        <v>2.2547514935508436E-2</v>
      </c>
      <c r="AI191" s="9">
        <f t="shared" si="14"/>
        <v>0</v>
      </c>
      <c r="AJ191" s="1" t="str">
        <f>IF(VLOOKUP(A191,Hospital!A:C,3,FALSE)="H","Hospital","Freestanding")</f>
        <v>Freestanding</v>
      </c>
      <c r="AK191" s="1">
        <v>2024</v>
      </c>
    </row>
    <row r="192" spans="1:37">
      <c r="A192" s="1">
        <v>55002</v>
      </c>
      <c r="B192" s="1" t="s">
        <v>357</v>
      </c>
      <c r="C192" s="1">
        <v>247750</v>
      </c>
      <c r="D192" s="1">
        <v>11939</v>
      </c>
      <c r="E192" s="1">
        <v>85009</v>
      </c>
      <c r="F192" s="1">
        <v>0</v>
      </c>
      <c r="G192" s="1">
        <v>227725</v>
      </c>
      <c r="H192" s="1">
        <v>1031796</v>
      </c>
      <c r="I192" s="1">
        <v>214490</v>
      </c>
      <c r="J192" s="1">
        <v>1203795</v>
      </c>
      <c r="K192" s="1">
        <v>78450</v>
      </c>
      <c r="L192" s="1">
        <v>100804</v>
      </c>
      <c r="M192" s="1">
        <v>0</v>
      </c>
      <c r="N192" s="1">
        <v>54621</v>
      </c>
      <c r="O192" s="1">
        <v>54545</v>
      </c>
      <c r="P192" s="1">
        <v>0</v>
      </c>
      <c r="Q192" s="1">
        <v>0</v>
      </c>
      <c r="R192" s="1">
        <v>7876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84742</v>
      </c>
      <c r="AB192" s="1">
        <v>-572</v>
      </c>
      <c r="AC192" s="1">
        <v>250575</v>
      </c>
      <c r="AD192" s="1">
        <v>1326</v>
      </c>
      <c r="AE192" s="1">
        <f t="shared" si="10"/>
        <v>3310173</v>
      </c>
      <c r="AF192" s="9">
        <f t="shared" si="11"/>
        <v>7.4845030758211126E-2</v>
      </c>
      <c r="AG192" s="9">
        <f t="shared" si="12"/>
        <v>3.6067601300596676E-3</v>
      </c>
      <c r="AH192" s="9">
        <f t="shared" si="13"/>
        <v>2.5681135094751846E-2</v>
      </c>
      <c r="AI192" s="9">
        <f t="shared" si="14"/>
        <v>0</v>
      </c>
      <c r="AJ192" s="1" t="str">
        <f>IF(VLOOKUP(A192,Hospital!A:C,3,FALSE)="H","Hospital","Freestanding")</f>
        <v>Freestanding</v>
      </c>
      <c r="AK192" s="1">
        <v>2024</v>
      </c>
    </row>
    <row r="193" spans="1:37">
      <c r="A193" s="1">
        <v>55003</v>
      </c>
      <c r="B193" s="1" t="s">
        <v>358</v>
      </c>
      <c r="C193" s="1">
        <v>264612</v>
      </c>
      <c r="D193" s="1">
        <v>14162</v>
      </c>
      <c r="E193" s="1">
        <v>1</v>
      </c>
      <c r="F193" s="1">
        <v>39475</v>
      </c>
      <c r="G193" s="1">
        <v>268461</v>
      </c>
      <c r="H193" s="1">
        <v>578998</v>
      </c>
      <c r="I193" s="1">
        <v>253594</v>
      </c>
      <c r="J193" s="1">
        <v>820184</v>
      </c>
      <c r="K193" s="1">
        <v>104433</v>
      </c>
      <c r="L193" s="1">
        <v>91531</v>
      </c>
      <c r="M193" s="1">
        <v>0</v>
      </c>
      <c r="N193" s="1">
        <v>117530</v>
      </c>
      <c r="O193" s="1">
        <v>93921</v>
      </c>
      <c r="P193" s="1">
        <v>39118</v>
      </c>
      <c r="Q193" s="1">
        <v>64020</v>
      </c>
      <c r="R193" s="1">
        <v>37013</v>
      </c>
      <c r="S193" s="1">
        <v>0</v>
      </c>
      <c r="T193" s="1">
        <v>0</v>
      </c>
      <c r="U193" s="1">
        <v>522115</v>
      </c>
      <c r="V193" s="1">
        <v>12585</v>
      </c>
      <c r="W193" s="1">
        <v>38473</v>
      </c>
      <c r="X193" s="1">
        <v>1226</v>
      </c>
      <c r="Y193" s="1">
        <v>145992</v>
      </c>
      <c r="Z193" s="1">
        <v>2554</v>
      </c>
      <c r="AA193" s="1">
        <v>138205</v>
      </c>
      <c r="AB193" s="1">
        <v>634</v>
      </c>
      <c r="AC193" s="1">
        <v>324070</v>
      </c>
      <c r="AD193" s="1">
        <v>-740</v>
      </c>
      <c r="AE193" s="1">
        <f t="shared" si="10"/>
        <v>3653917</v>
      </c>
      <c r="AF193" s="9">
        <f t="shared" si="11"/>
        <v>7.2418722154882001E-2</v>
      </c>
      <c r="AG193" s="9">
        <f t="shared" si="12"/>
        <v>3.8758406389636109E-3</v>
      </c>
      <c r="AH193" s="9">
        <f t="shared" si="13"/>
        <v>2.7367890403640806E-7</v>
      </c>
      <c r="AI193" s="9">
        <f t="shared" si="14"/>
        <v>1.0803474736837208E-2</v>
      </c>
      <c r="AJ193" s="1" t="str">
        <f>IF(VLOOKUP(A193,Hospital!A:C,3,FALSE)="H","Hospital","Freestanding")</f>
        <v>Freestanding</v>
      </c>
      <c r="AK193" s="1">
        <v>2024</v>
      </c>
    </row>
    <row r="194" spans="1:37">
      <c r="A194" s="1">
        <v>55004</v>
      </c>
      <c r="B194" s="1" t="s">
        <v>359</v>
      </c>
      <c r="C194" s="1">
        <v>217350</v>
      </c>
      <c r="D194" s="1">
        <v>889</v>
      </c>
      <c r="E194" s="1">
        <v>93600</v>
      </c>
      <c r="F194" s="1">
        <v>17100</v>
      </c>
      <c r="G194" s="1">
        <v>205106</v>
      </c>
      <c r="H194" s="1">
        <v>422587</v>
      </c>
      <c r="I194" s="1">
        <v>458901</v>
      </c>
      <c r="J194" s="1">
        <v>608857</v>
      </c>
      <c r="K194" s="1">
        <v>52727</v>
      </c>
      <c r="L194" s="1">
        <v>117783</v>
      </c>
      <c r="M194" s="1">
        <v>0</v>
      </c>
      <c r="N194" s="1">
        <v>92916</v>
      </c>
      <c r="O194" s="1">
        <v>160417</v>
      </c>
      <c r="P194" s="1">
        <v>0</v>
      </c>
      <c r="Q194" s="1">
        <v>0</v>
      </c>
      <c r="R194" s="1">
        <v>2178</v>
      </c>
      <c r="S194" s="1">
        <v>0</v>
      </c>
      <c r="T194" s="1">
        <v>0</v>
      </c>
      <c r="U194" s="1">
        <v>0</v>
      </c>
      <c r="V194" s="1">
        <v>0</v>
      </c>
      <c r="W194" s="1">
        <v>44479</v>
      </c>
      <c r="X194" s="1">
        <v>0</v>
      </c>
      <c r="Y194" s="1">
        <v>326287</v>
      </c>
      <c r="Z194" s="1">
        <v>5847</v>
      </c>
      <c r="AA194" s="1">
        <v>61519</v>
      </c>
      <c r="AB194" s="1">
        <v>3415</v>
      </c>
      <c r="AC194" s="1">
        <v>352373</v>
      </c>
      <c r="AD194" s="1">
        <v>2847</v>
      </c>
      <c r="AE194" s="1">
        <f t="shared" si="10"/>
        <v>2918239</v>
      </c>
      <c r="AF194" s="9">
        <f t="shared" si="11"/>
        <v>7.4479848977414123E-2</v>
      </c>
      <c r="AG194" s="9">
        <f t="shared" si="12"/>
        <v>3.0463577520552633E-4</v>
      </c>
      <c r="AH194" s="9">
        <f t="shared" si="13"/>
        <v>3.2074137861909185E-2</v>
      </c>
      <c r="AI194" s="9">
        <f t="shared" si="14"/>
        <v>5.859698263233409E-3</v>
      </c>
      <c r="AJ194" s="1" t="str">
        <f>IF(VLOOKUP(A194,Hospital!A:C,3,FALSE)="H","Hospital","Freestanding")</f>
        <v>Freestanding</v>
      </c>
      <c r="AK194" s="1">
        <v>2024</v>
      </c>
    </row>
    <row r="195" spans="1:37">
      <c r="A195" s="1">
        <v>55005</v>
      </c>
      <c r="B195" s="1" t="s">
        <v>360</v>
      </c>
      <c r="C195" s="1">
        <v>276399</v>
      </c>
      <c r="D195" s="1">
        <v>9429</v>
      </c>
      <c r="E195" s="1">
        <v>50151</v>
      </c>
      <c r="F195" s="1">
        <v>1311</v>
      </c>
      <c r="G195" s="1">
        <v>311582</v>
      </c>
      <c r="H195" s="1">
        <v>420017</v>
      </c>
      <c r="I195" s="1">
        <v>593847</v>
      </c>
      <c r="J195" s="1">
        <v>1026656</v>
      </c>
      <c r="K195" s="1">
        <v>56092</v>
      </c>
      <c r="L195" s="1">
        <v>118784</v>
      </c>
      <c r="M195" s="1">
        <v>0</v>
      </c>
      <c r="N195" s="1">
        <v>152569</v>
      </c>
      <c r="O195" s="1">
        <v>96010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323501</v>
      </c>
      <c r="V195" s="1">
        <v>0</v>
      </c>
      <c r="W195" s="1">
        <v>7488</v>
      </c>
      <c r="X195" s="1">
        <v>0</v>
      </c>
      <c r="Y195" s="1">
        <v>200110</v>
      </c>
      <c r="Z195" s="1">
        <v>0</v>
      </c>
      <c r="AA195" s="1">
        <v>66237</v>
      </c>
      <c r="AB195" s="1">
        <v>0</v>
      </c>
      <c r="AC195" s="1">
        <v>327814</v>
      </c>
      <c r="AD195" s="1">
        <v>0</v>
      </c>
      <c r="AE195" s="1">
        <f t="shared" si="10"/>
        <v>3700707</v>
      </c>
      <c r="AF195" s="9">
        <f t="shared" si="11"/>
        <v>7.4688160937896458E-2</v>
      </c>
      <c r="AG195" s="9">
        <f t="shared" si="12"/>
        <v>2.5478915245113975E-3</v>
      </c>
      <c r="AH195" s="9">
        <f t="shared" si="13"/>
        <v>1.3551734844179774E-2</v>
      </c>
      <c r="AI195" s="9">
        <f t="shared" si="14"/>
        <v>3.5425663258399002E-4</v>
      </c>
      <c r="AJ195" s="1" t="str">
        <f>IF(VLOOKUP(A195,Hospital!A:C,3,FALSE)="H","Hospital","Freestanding")</f>
        <v>Freestanding</v>
      </c>
      <c r="AK195" s="1">
        <v>2024</v>
      </c>
    </row>
    <row r="196" spans="1:37">
      <c r="A196" s="1">
        <v>55007</v>
      </c>
      <c r="B196" s="1" t="s">
        <v>361</v>
      </c>
      <c r="C196" s="1">
        <v>381644</v>
      </c>
      <c r="D196" s="1">
        <v>2121</v>
      </c>
      <c r="E196" s="1">
        <v>127226</v>
      </c>
      <c r="F196" s="1">
        <v>159899</v>
      </c>
      <c r="G196" s="1">
        <v>253188</v>
      </c>
      <c r="H196" s="1">
        <v>610639</v>
      </c>
      <c r="I196" s="1">
        <v>665305</v>
      </c>
      <c r="J196" s="1">
        <v>1431331</v>
      </c>
      <c r="K196" s="1">
        <v>175133</v>
      </c>
      <c r="L196" s="1">
        <v>110339</v>
      </c>
      <c r="M196" s="1">
        <v>0</v>
      </c>
      <c r="N196" s="1">
        <v>99095</v>
      </c>
      <c r="O196" s="1">
        <v>214165</v>
      </c>
      <c r="P196" s="1">
        <v>26536</v>
      </c>
      <c r="Q196" s="1">
        <v>0</v>
      </c>
      <c r="R196" s="1">
        <v>19760</v>
      </c>
      <c r="S196" s="1">
        <v>0</v>
      </c>
      <c r="T196" s="1">
        <v>0</v>
      </c>
      <c r="U196" s="1">
        <v>370218</v>
      </c>
      <c r="V196" s="1">
        <v>-230</v>
      </c>
      <c r="W196" s="1">
        <v>0</v>
      </c>
      <c r="X196" s="1">
        <v>0</v>
      </c>
      <c r="Y196" s="1">
        <v>629951</v>
      </c>
      <c r="Z196" s="1">
        <v>-591</v>
      </c>
      <c r="AA196" s="1">
        <v>217214</v>
      </c>
      <c r="AB196" s="1">
        <v>4331</v>
      </c>
      <c r="AC196" s="1">
        <v>453427</v>
      </c>
      <c r="AD196" s="1">
        <v>17789</v>
      </c>
      <c r="AE196" s="1">
        <f t="shared" ref="AE196:AE259" si="15">SUM(G196:AD196)</f>
        <v>5297600</v>
      </c>
      <c r="AF196" s="9">
        <f t="shared" ref="AF196:AF259" si="16">C196/AE196</f>
        <v>7.2040924192086978E-2</v>
      </c>
      <c r="AG196" s="9">
        <f t="shared" ref="AG196:AG259" si="17">D196/AE196</f>
        <v>4.0036997885835096E-4</v>
      </c>
      <c r="AH196" s="9">
        <f t="shared" ref="AH196:AH259" si="18">E196/AE196</f>
        <v>2.401578073089701E-2</v>
      </c>
      <c r="AI196" s="9">
        <f t="shared" ref="AI196:AI259" si="19">F196/AE196</f>
        <v>3.018329054666264E-2</v>
      </c>
      <c r="AJ196" s="1" t="str">
        <f>IF(VLOOKUP(A196,Hospital!A:C,3,FALSE)="H","Hospital","Freestanding")</f>
        <v>Freestanding</v>
      </c>
      <c r="AK196" s="1">
        <v>2024</v>
      </c>
    </row>
    <row r="197" spans="1:37">
      <c r="A197" s="1">
        <v>55009</v>
      </c>
      <c r="B197" s="1" t="s">
        <v>362</v>
      </c>
      <c r="C197" s="1">
        <v>174725</v>
      </c>
      <c r="D197" s="1">
        <v>20330</v>
      </c>
      <c r="E197" s="1">
        <v>90277</v>
      </c>
      <c r="F197" s="1">
        <v>4866</v>
      </c>
      <c r="G197" s="1">
        <v>248332</v>
      </c>
      <c r="H197" s="1">
        <v>451163</v>
      </c>
      <c r="I197" s="1">
        <v>479318</v>
      </c>
      <c r="J197" s="1">
        <v>449430</v>
      </c>
      <c r="K197" s="1">
        <v>1182</v>
      </c>
      <c r="L197" s="1">
        <v>142748</v>
      </c>
      <c r="M197" s="1">
        <v>0</v>
      </c>
      <c r="N197" s="1">
        <v>121692</v>
      </c>
      <c r="O197" s="1">
        <v>52860</v>
      </c>
      <c r="P197" s="1">
        <v>0</v>
      </c>
      <c r="Q197" s="1">
        <v>91034</v>
      </c>
      <c r="R197" s="1">
        <v>5863</v>
      </c>
      <c r="S197" s="1">
        <v>0</v>
      </c>
      <c r="T197" s="1">
        <v>0</v>
      </c>
      <c r="U197" s="1">
        <v>79145</v>
      </c>
      <c r="V197" s="1">
        <v>1984</v>
      </c>
      <c r="W197" s="1">
        <v>0</v>
      </c>
      <c r="X197" s="1">
        <v>0</v>
      </c>
      <c r="Y197" s="1">
        <v>53546</v>
      </c>
      <c r="Z197" s="1">
        <v>1687</v>
      </c>
      <c r="AA197" s="1">
        <v>48534</v>
      </c>
      <c r="AB197" s="1">
        <v>1355</v>
      </c>
      <c r="AC197" s="1">
        <v>293865</v>
      </c>
      <c r="AD197" s="1">
        <v>-2599</v>
      </c>
      <c r="AE197" s="1">
        <f t="shared" si="15"/>
        <v>2521139</v>
      </c>
      <c r="AF197" s="9">
        <f t="shared" si="16"/>
        <v>6.9303993155474572E-2</v>
      </c>
      <c r="AG197" s="9">
        <f t="shared" si="17"/>
        <v>8.0638156008058254E-3</v>
      </c>
      <c r="AH197" s="9">
        <f t="shared" si="18"/>
        <v>3.580802169178296E-2</v>
      </c>
      <c r="AI197" s="9">
        <f t="shared" si="19"/>
        <v>1.9300800154216011E-3</v>
      </c>
      <c r="AJ197" s="1" t="str">
        <f>IF(VLOOKUP(A197,Hospital!A:C,3,FALSE)="H","Hospital","Freestanding")</f>
        <v>Freestanding</v>
      </c>
      <c r="AK197" s="1">
        <v>2024</v>
      </c>
    </row>
    <row r="198" spans="1:37">
      <c r="A198" s="1">
        <v>56001</v>
      </c>
      <c r="B198" s="1" t="s">
        <v>363</v>
      </c>
      <c r="C198" s="1">
        <v>0</v>
      </c>
      <c r="D198" s="1">
        <v>0</v>
      </c>
      <c r="E198" s="1">
        <v>0</v>
      </c>
      <c r="F198" s="1">
        <v>0</v>
      </c>
      <c r="G198" s="1">
        <v>1087715</v>
      </c>
      <c r="H198" s="1">
        <v>1521929</v>
      </c>
      <c r="I198" s="1">
        <v>783069</v>
      </c>
      <c r="J198" s="1">
        <v>1660921</v>
      </c>
      <c r="K198" s="1">
        <v>421273</v>
      </c>
      <c r="L198" s="1">
        <v>4765</v>
      </c>
      <c r="M198" s="1">
        <v>0</v>
      </c>
      <c r="N198" s="1">
        <v>136435</v>
      </c>
      <c r="O198" s="1">
        <v>225640</v>
      </c>
      <c r="P198" s="1">
        <v>125405</v>
      </c>
      <c r="Q198" s="1">
        <v>0</v>
      </c>
      <c r="R198" s="1">
        <v>-3104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f t="shared" si="15"/>
        <v>5964048</v>
      </c>
      <c r="AF198" s="9">
        <f t="shared" si="16"/>
        <v>0</v>
      </c>
      <c r="AG198" s="9">
        <f t="shared" si="17"/>
        <v>0</v>
      </c>
      <c r="AH198" s="9">
        <f t="shared" si="18"/>
        <v>0</v>
      </c>
      <c r="AI198" s="9">
        <f t="shared" si="19"/>
        <v>0</v>
      </c>
      <c r="AJ198" s="1" t="str">
        <f>IF(VLOOKUP(A198,Hospital!A:C,3,FALSE)="H","Hospital","Freestanding")</f>
        <v>Hospital</v>
      </c>
      <c r="AK198" s="1">
        <v>2024</v>
      </c>
    </row>
    <row r="199" spans="1:37">
      <c r="A199" s="1">
        <v>56002</v>
      </c>
      <c r="B199" s="1" t="s">
        <v>364</v>
      </c>
      <c r="C199" s="1">
        <v>446357</v>
      </c>
      <c r="D199" s="1">
        <v>2652</v>
      </c>
      <c r="E199" s="1">
        <v>23232</v>
      </c>
      <c r="F199" s="1">
        <v>0</v>
      </c>
      <c r="G199" s="1">
        <v>205869</v>
      </c>
      <c r="H199" s="1">
        <v>1174401</v>
      </c>
      <c r="I199" s="1">
        <v>235953</v>
      </c>
      <c r="J199" s="1">
        <v>1763424</v>
      </c>
      <c r="K199" s="1">
        <v>896742</v>
      </c>
      <c r="L199" s="1">
        <v>177328</v>
      </c>
      <c r="M199" s="1">
        <v>0</v>
      </c>
      <c r="N199" s="1">
        <v>57500</v>
      </c>
      <c r="O199" s="1">
        <v>273173</v>
      </c>
      <c r="P199" s="1">
        <v>63561</v>
      </c>
      <c r="Q199" s="1">
        <v>57042</v>
      </c>
      <c r="R199" s="1">
        <v>39988</v>
      </c>
      <c r="S199" s="1">
        <v>0</v>
      </c>
      <c r="T199" s="1">
        <v>0</v>
      </c>
      <c r="U199" s="1">
        <v>666963</v>
      </c>
      <c r="V199" s="1">
        <v>7458</v>
      </c>
      <c r="W199" s="1">
        <v>0</v>
      </c>
      <c r="X199" s="1">
        <v>0</v>
      </c>
      <c r="Y199" s="1">
        <v>164319</v>
      </c>
      <c r="Z199" s="1">
        <v>3084</v>
      </c>
      <c r="AA199" s="1">
        <v>153756</v>
      </c>
      <c r="AB199" s="1">
        <v>3639</v>
      </c>
      <c r="AC199" s="1">
        <v>163208</v>
      </c>
      <c r="AD199" s="1">
        <v>3405</v>
      </c>
      <c r="AE199" s="1">
        <f t="shared" si="15"/>
        <v>6110813</v>
      </c>
      <c r="AF199" s="9">
        <f t="shared" si="16"/>
        <v>7.3043799572986443E-2</v>
      </c>
      <c r="AG199" s="9">
        <f t="shared" si="17"/>
        <v>4.3398480693158177E-4</v>
      </c>
      <c r="AH199" s="9">
        <f t="shared" si="18"/>
        <v>3.8017854580069789E-3</v>
      </c>
      <c r="AI199" s="9">
        <f t="shared" si="19"/>
        <v>0</v>
      </c>
      <c r="AJ199" s="1" t="str">
        <f>IF(VLOOKUP(A199,Hospital!A:C,3,FALSE)="H","Hospital","Freestanding")</f>
        <v>Freestanding</v>
      </c>
      <c r="AK199" s="1">
        <v>2024</v>
      </c>
    </row>
    <row r="200" spans="1:37">
      <c r="A200" s="1">
        <v>56004</v>
      </c>
      <c r="B200" s="1" t="s">
        <v>365</v>
      </c>
      <c r="C200" s="1">
        <v>248188</v>
      </c>
      <c r="D200" s="1">
        <v>0</v>
      </c>
      <c r="E200" s="1">
        <v>20797</v>
      </c>
      <c r="F200" s="1">
        <v>114241</v>
      </c>
      <c r="G200" s="1">
        <v>288050</v>
      </c>
      <c r="H200" s="1">
        <v>479192</v>
      </c>
      <c r="I200" s="1">
        <v>327228</v>
      </c>
      <c r="J200" s="1">
        <v>759502</v>
      </c>
      <c r="K200" s="1">
        <v>347680</v>
      </c>
      <c r="L200" s="1">
        <v>71668</v>
      </c>
      <c r="M200" s="1">
        <v>0</v>
      </c>
      <c r="N200" s="1">
        <v>89175</v>
      </c>
      <c r="O200" s="1">
        <v>62005</v>
      </c>
      <c r="P200" s="1">
        <v>0</v>
      </c>
      <c r="Q200" s="1">
        <v>0</v>
      </c>
      <c r="R200" s="1">
        <v>-9946</v>
      </c>
      <c r="S200" s="1">
        <v>0</v>
      </c>
      <c r="T200" s="1">
        <v>0</v>
      </c>
      <c r="U200" s="1">
        <v>235214</v>
      </c>
      <c r="V200" s="1">
        <v>-1213</v>
      </c>
      <c r="W200" s="1">
        <v>67465</v>
      </c>
      <c r="X200" s="1">
        <v>-3443</v>
      </c>
      <c r="Y200" s="1">
        <v>134656</v>
      </c>
      <c r="Z200" s="1">
        <v>-6757</v>
      </c>
      <c r="AA200" s="1">
        <v>114663</v>
      </c>
      <c r="AB200" s="1">
        <v>-282</v>
      </c>
      <c r="AC200" s="1">
        <v>226262</v>
      </c>
      <c r="AD200" s="1">
        <v>1923</v>
      </c>
      <c r="AE200" s="1">
        <f t="shared" si="15"/>
        <v>3183042</v>
      </c>
      <c r="AF200" s="9">
        <f t="shared" si="16"/>
        <v>7.7971952616396514E-2</v>
      </c>
      <c r="AG200" s="9">
        <f t="shared" si="17"/>
        <v>0</v>
      </c>
      <c r="AH200" s="9">
        <f t="shared" si="18"/>
        <v>6.5336869573194446E-3</v>
      </c>
      <c r="AI200" s="9">
        <f t="shared" si="19"/>
        <v>3.5890509770213526E-2</v>
      </c>
      <c r="AJ200" s="1" t="str">
        <f>IF(VLOOKUP(A200,Hospital!A:C,3,FALSE)="H","Hospital","Freestanding")</f>
        <v>Freestanding</v>
      </c>
      <c r="AK200" s="1">
        <v>2024</v>
      </c>
    </row>
    <row r="201" spans="1:37">
      <c r="A201" s="1">
        <v>56009</v>
      </c>
      <c r="B201" s="1" t="s">
        <v>366</v>
      </c>
      <c r="C201" s="1">
        <v>289566</v>
      </c>
      <c r="D201" s="1">
        <v>9551</v>
      </c>
      <c r="E201" s="1">
        <v>50309</v>
      </c>
      <c r="F201" s="1">
        <v>66729</v>
      </c>
      <c r="G201" s="1">
        <v>69319</v>
      </c>
      <c r="H201" s="1">
        <v>475556</v>
      </c>
      <c r="I201" s="1">
        <v>627800</v>
      </c>
      <c r="J201" s="1">
        <v>635938</v>
      </c>
      <c r="K201" s="1">
        <v>391490</v>
      </c>
      <c r="L201" s="1">
        <v>120782</v>
      </c>
      <c r="M201" s="1">
        <v>0</v>
      </c>
      <c r="N201" s="1">
        <v>80736</v>
      </c>
      <c r="O201" s="1">
        <v>185780</v>
      </c>
      <c r="P201" s="1">
        <v>20561</v>
      </c>
      <c r="Q201" s="1">
        <v>0</v>
      </c>
      <c r="R201" s="1">
        <v>69581</v>
      </c>
      <c r="S201" s="1">
        <v>0</v>
      </c>
      <c r="T201" s="1">
        <v>0</v>
      </c>
      <c r="U201" s="1">
        <v>431884</v>
      </c>
      <c r="V201" s="1">
        <v>712</v>
      </c>
      <c r="W201" s="1">
        <v>58537</v>
      </c>
      <c r="X201" s="1">
        <v>806</v>
      </c>
      <c r="Y201" s="1">
        <v>153737</v>
      </c>
      <c r="Z201" s="1">
        <v>-467</v>
      </c>
      <c r="AA201" s="1">
        <v>225374</v>
      </c>
      <c r="AB201" s="1">
        <v>-7874</v>
      </c>
      <c r="AC201" s="1">
        <v>418208</v>
      </c>
      <c r="AD201" s="1">
        <v>1000</v>
      </c>
      <c r="AE201" s="1">
        <f t="shared" si="15"/>
        <v>3959460</v>
      </c>
      <c r="AF201" s="9">
        <f t="shared" si="16"/>
        <v>7.3132699913624588E-2</v>
      </c>
      <c r="AG201" s="9">
        <f t="shared" si="17"/>
        <v>2.4121976229081743E-3</v>
      </c>
      <c r="AH201" s="9">
        <f t="shared" si="18"/>
        <v>1.2706025569143267E-2</v>
      </c>
      <c r="AI201" s="9">
        <f t="shared" si="19"/>
        <v>1.6853055719719356E-2</v>
      </c>
      <c r="AJ201" s="1" t="str">
        <f>IF(VLOOKUP(A201,Hospital!A:C,3,FALSE)="H","Hospital","Freestanding")</f>
        <v>Freestanding</v>
      </c>
      <c r="AK201" s="1">
        <v>2024</v>
      </c>
    </row>
    <row r="202" spans="1:37">
      <c r="A202" s="1">
        <v>56010</v>
      </c>
      <c r="B202" s="1" t="s">
        <v>367</v>
      </c>
      <c r="C202" s="1">
        <v>193685</v>
      </c>
      <c r="D202" s="1">
        <v>1118</v>
      </c>
      <c r="E202" s="1">
        <v>35671</v>
      </c>
      <c r="F202" s="1">
        <v>56684</v>
      </c>
      <c r="G202" s="1">
        <v>294416</v>
      </c>
      <c r="H202" s="1">
        <v>281928</v>
      </c>
      <c r="I202" s="1">
        <v>332398</v>
      </c>
      <c r="J202" s="1">
        <v>746358</v>
      </c>
      <c r="K202" s="1">
        <v>18166</v>
      </c>
      <c r="L202" s="1">
        <v>77379</v>
      </c>
      <c r="M202" s="1">
        <v>0</v>
      </c>
      <c r="N202" s="1">
        <v>49657</v>
      </c>
      <c r="O202" s="1">
        <v>101634</v>
      </c>
      <c r="P202" s="1">
        <v>0</v>
      </c>
      <c r="Q202" s="1">
        <v>0</v>
      </c>
      <c r="R202" s="1">
        <v>-20762</v>
      </c>
      <c r="S202" s="1">
        <v>0</v>
      </c>
      <c r="T202" s="1">
        <v>0</v>
      </c>
      <c r="U202" s="1">
        <v>211053</v>
      </c>
      <c r="V202" s="1">
        <v>1524</v>
      </c>
      <c r="W202" s="1">
        <v>38516</v>
      </c>
      <c r="X202" s="1">
        <v>1232</v>
      </c>
      <c r="Y202" s="1">
        <v>90316</v>
      </c>
      <c r="Z202" s="1">
        <v>3102</v>
      </c>
      <c r="AA202" s="1">
        <v>77480</v>
      </c>
      <c r="AB202" s="1">
        <v>2944</v>
      </c>
      <c r="AC202" s="1">
        <v>220492</v>
      </c>
      <c r="AD202" s="1">
        <v>-1807</v>
      </c>
      <c r="AE202" s="1">
        <f t="shared" si="15"/>
        <v>2526026</v>
      </c>
      <c r="AF202" s="9">
        <f t="shared" si="16"/>
        <v>7.6675774516968553E-2</v>
      </c>
      <c r="AG202" s="9">
        <f t="shared" si="17"/>
        <v>4.4259243570731258E-4</v>
      </c>
      <c r="AH202" s="9">
        <f t="shared" si="18"/>
        <v>1.4121390674521957E-2</v>
      </c>
      <c r="AI202" s="9">
        <f t="shared" si="19"/>
        <v>2.2439990720602241E-2</v>
      </c>
      <c r="AJ202" s="1" t="str">
        <f>IF(VLOOKUP(A202,Hospital!A:C,3,FALSE)="H","Hospital","Freestanding")</f>
        <v>Freestanding</v>
      </c>
      <c r="AK202" s="1">
        <v>2024</v>
      </c>
    </row>
    <row r="203" spans="1:37">
      <c r="A203" s="1">
        <v>56011</v>
      </c>
      <c r="B203" s="1" t="s">
        <v>368</v>
      </c>
      <c r="C203" s="1">
        <v>286601</v>
      </c>
      <c r="D203" s="1">
        <v>359</v>
      </c>
      <c r="E203" s="1">
        <v>112258</v>
      </c>
      <c r="F203" s="1">
        <v>0</v>
      </c>
      <c r="G203" s="1">
        <v>120367</v>
      </c>
      <c r="H203" s="1">
        <v>700614</v>
      </c>
      <c r="I203" s="1">
        <v>431326</v>
      </c>
      <c r="J203" s="1">
        <v>1390794</v>
      </c>
      <c r="K203" s="1">
        <v>24617</v>
      </c>
      <c r="L203" s="1">
        <v>43841</v>
      </c>
      <c r="M203" s="1">
        <v>0</v>
      </c>
      <c r="N203" s="1">
        <v>64416</v>
      </c>
      <c r="O203" s="1">
        <v>162702</v>
      </c>
      <c r="P203" s="1">
        <v>0</v>
      </c>
      <c r="Q203" s="1">
        <v>0</v>
      </c>
      <c r="R203" s="1">
        <v>17974</v>
      </c>
      <c r="S203" s="1">
        <v>0</v>
      </c>
      <c r="T203" s="1">
        <v>0</v>
      </c>
      <c r="U203" s="1">
        <v>315386</v>
      </c>
      <c r="V203" s="1">
        <v>-2695</v>
      </c>
      <c r="W203" s="1">
        <v>107704</v>
      </c>
      <c r="X203" s="1">
        <v>1859</v>
      </c>
      <c r="Y203" s="1">
        <v>84432</v>
      </c>
      <c r="Z203" s="1">
        <v>-108</v>
      </c>
      <c r="AA203" s="1">
        <v>102133</v>
      </c>
      <c r="AB203" s="1">
        <v>3053</v>
      </c>
      <c r="AC203" s="1">
        <v>287005</v>
      </c>
      <c r="AD203" s="1">
        <v>4726</v>
      </c>
      <c r="AE203" s="1">
        <f t="shared" si="15"/>
        <v>3860146</v>
      </c>
      <c r="AF203" s="9">
        <f t="shared" si="16"/>
        <v>7.4246155456296217E-2</v>
      </c>
      <c r="AG203" s="9">
        <f t="shared" si="17"/>
        <v>9.3001663667643654E-5</v>
      </c>
      <c r="AH203" s="9">
        <f t="shared" si="18"/>
        <v>2.9081283454045519E-2</v>
      </c>
      <c r="AI203" s="9">
        <f t="shared" si="19"/>
        <v>0</v>
      </c>
      <c r="AJ203" s="1" t="str">
        <f>IF(VLOOKUP(A203,Hospital!A:C,3,FALSE)="H","Hospital","Freestanding")</f>
        <v>Freestanding</v>
      </c>
      <c r="AK203" s="1">
        <v>2024</v>
      </c>
    </row>
    <row r="204" spans="1:37">
      <c r="A204" s="1">
        <v>57001</v>
      </c>
      <c r="B204" s="1" t="s">
        <v>369</v>
      </c>
      <c r="C204" s="1">
        <v>308186</v>
      </c>
      <c r="D204" s="1">
        <v>14132</v>
      </c>
      <c r="E204" s="1">
        <v>70189</v>
      </c>
      <c r="F204" s="1">
        <v>91612</v>
      </c>
      <c r="G204" s="1">
        <v>285889</v>
      </c>
      <c r="H204" s="1">
        <v>919473</v>
      </c>
      <c r="I204" s="1">
        <v>282987</v>
      </c>
      <c r="J204" s="1">
        <v>1232855</v>
      </c>
      <c r="K204" s="1">
        <v>49859</v>
      </c>
      <c r="L204" s="1">
        <v>60709</v>
      </c>
      <c r="M204" s="1">
        <v>0</v>
      </c>
      <c r="N204" s="1">
        <v>97942</v>
      </c>
      <c r="O204" s="1">
        <v>179741</v>
      </c>
      <c r="P204" s="1">
        <v>0</v>
      </c>
      <c r="Q204" s="1">
        <v>0</v>
      </c>
      <c r="R204" s="1">
        <v>20181</v>
      </c>
      <c r="S204" s="1">
        <v>0</v>
      </c>
      <c r="T204" s="1">
        <v>0</v>
      </c>
      <c r="U204" s="1">
        <v>378870</v>
      </c>
      <c r="V204" s="1">
        <v>1757</v>
      </c>
      <c r="W204" s="1">
        <v>45307</v>
      </c>
      <c r="X204" s="1">
        <v>1543</v>
      </c>
      <c r="Y204" s="1">
        <v>155699</v>
      </c>
      <c r="Z204" s="1">
        <v>3416</v>
      </c>
      <c r="AA204" s="1">
        <v>95028</v>
      </c>
      <c r="AB204" s="1">
        <v>1628</v>
      </c>
      <c r="AC204" s="1">
        <v>277680</v>
      </c>
      <c r="AD204" s="1">
        <v>4119</v>
      </c>
      <c r="AE204" s="1">
        <f t="shared" si="15"/>
        <v>4094683</v>
      </c>
      <c r="AF204" s="9">
        <f t="shared" si="16"/>
        <v>7.526492282796983E-2</v>
      </c>
      <c r="AG204" s="9">
        <f t="shared" si="17"/>
        <v>3.4513050216585751E-3</v>
      </c>
      <c r="AH204" s="9">
        <f t="shared" si="18"/>
        <v>1.714149788884756E-2</v>
      </c>
      <c r="AI204" s="9">
        <f t="shared" si="19"/>
        <v>2.2373404729987646E-2</v>
      </c>
      <c r="AJ204" s="1" t="str">
        <f>IF(VLOOKUP(A204,Hospital!A:C,3,FALSE)="H","Hospital","Freestanding")</f>
        <v>Hospital</v>
      </c>
      <c r="AK204" s="1">
        <v>2024</v>
      </c>
    </row>
    <row r="205" spans="1:37">
      <c r="A205" s="1">
        <v>57002</v>
      </c>
      <c r="B205" s="1" t="s">
        <v>370</v>
      </c>
      <c r="C205" s="1">
        <v>186363</v>
      </c>
      <c r="D205" s="1">
        <v>25811</v>
      </c>
      <c r="E205" s="1">
        <v>70625</v>
      </c>
      <c r="F205" s="1">
        <v>36855</v>
      </c>
      <c r="G205" s="1">
        <v>254796</v>
      </c>
      <c r="H205" s="1">
        <v>266030</v>
      </c>
      <c r="I205" s="1">
        <v>176185</v>
      </c>
      <c r="J205" s="1">
        <v>661400</v>
      </c>
      <c r="K205" s="1">
        <v>130621</v>
      </c>
      <c r="L205" s="1">
        <v>0</v>
      </c>
      <c r="M205" s="1">
        <v>0</v>
      </c>
      <c r="N205" s="1">
        <v>52918</v>
      </c>
      <c r="O205" s="1">
        <v>128781</v>
      </c>
      <c r="P205" s="1">
        <v>0</v>
      </c>
      <c r="Q205" s="1">
        <v>0</v>
      </c>
      <c r="R205" s="1">
        <v>45905</v>
      </c>
      <c r="S205" s="1">
        <v>0</v>
      </c>
      <c r="T205" s="1">
        <v>0</v>
      </c>
      <c r="U205" s="1">
        <v>327167</v>
      </c>
      <c r="V205" s="1">
        <v>8090</v>
      </c>
      <c r="W205" s="1">
        <v>37530</v>
      </c>
      <c r="X205" s="1">
        <v>3271</v>
      </c>
      <c r="Y205" s="1">
        <v>128138</v>
      </c>
      <c r="Z205" s="1">
        <v>4297</v>
      </c>
      <c r="AA205" s="1">
        <v>45764</v>
      </c>
      <c r="AB205" s="1">
        <v>-830</v>
      </c>
      <c r="AC205" s="1">
        <v>159012</v>
      </c>
      <c r="AD205" s="1">
        <v>3562</v>
      </c>
      <c r="AE205" s="1">
        <f t="shared" si="15"/>
        <v>2432637</v>
      </c>
      <c r="AF205" s="9">
        <f t="shared" si="16"/>
        <v>7.6609457144654128E-2</v>
      </c>
      <c r="AG205" s="9">
        <f t="shared" si="17"/>
        <v>1.0610296562947945E-2</v>
      </c>
      <c r="AH205" s="9">
        <f t="shared" si="18"/>
        <v>2.9032280607423137E-2</v>
      </c>
      <c r="AI205" s="9">
        <f t="shared" si="19"/>
        <v>1.5150225866004669E-2</v>
      </c>
      <c r="AJ205" s="1" t="str">
        <f>IF(VLOOKUP(A205,Hospital!A:C,3,FALSE)="H","Hospital","Freestanding")</f>
        <v>Freestanding</v>
      </c>
      <c r="AK205" s="1">
        <v>2024</v>
      </c>
    </row>
    <row r="206" spans="1:37">
      <c r="A206" s="1">
        <v>58001</v>
      </c>
      <c r="B206" s="1" t="s">
        <v>371</v>
      </c>
      <c r="C206" s="1">
        <v>299291</v>
      </c>
      <c r="D206" s="1">
        <v>34144</v>
      </c>
      <c r="E206" s="1">
        <v>73263</v>
      </c>
      <c r="F206" s="1">
        <v>54327</v>
      </c>
      <c r="G206" s="1">
        <v>68769</v>
      </c>
      <c r="H206" s="1">
        <v>428793</v>
      </c>
      <c r="I206" s="1">
        <v>630405</v>
      </c>
      <c r="J206" s="1">
        <v>1216415</v>
      </c>
      <c r="K206" s="1">
        <v>0</v>
      </c>
      <c r="L206" s="1">
        <v>96208</v>
      </c>
      <c r="M206" s="1">
        <v>0</v>
      </c>
      <c r="N206" s="1">
        <v>75850</v>
      </c>
      <c r="O206" s="1">
        <v>163917</v>
      </c>
      <c r="P206" s="1">
        <v>0</v>
      </c>
      <c r="Q206" s="1">
        <v>0</v>
      </c>
      <c r="R206" s="1">
        <v>-21480</v>
      </c>
      <c r="S206" s="1">
        <v>0</v>
      </c>
      <c r="T206" s="1">
        <v>0</v>
      </c>
      <c r="U206" s="1">
        <v>570757</v>
      </c>
      <c r="V206" s="1">
        <v>0</v>
      </c>
      <c r="W206" s="1">
        <v>103781</v>
      </c>
      <c r="X206" s="1">
        <v>-3277</v>
      </c>
      <c r="Y206" s="1">
        <v>66396</v>
      </c>
      <c r="Z206" s="1">
        <v>-1107</v>
      </c>
      <c r="AA206" s="1">
        <v>28124</v>
      </c>
      <c r="AB206" s="1">
        <v>1593</v>
      </c>
      <c r="AC206" s="1">
        <v>190779</v>
      </c>
      <c r="AD206" s="1">
        <v>3153</v>
      </c>
      <c r="AE206" s="1">
        <f t="shared" si="15"/>
        <v>3619076</v>
      </c>
      <c r="AF206" s="9">
        <f t="shared" si="16"/>
        <v>8.2698180419532502E-2</v>
      </c>
      <c r="AG206" s="9">
        <f t="shared" si="17"/>
        <v>9.4344523298212028E-3</v>
      </c>
      <c r="AH206" s="9">
        <f t="shared" si="18"/>
        <v>2.0243564932043427E-2</v>
      </c>
      <c r="AI206" s="9">
        <f t="shared" si="19"/>
        <v>1.5011290174619158E-2</v>
      </c>
      <c r="AJ206" s="1" t="str">
        <f>IF(VLOOKUP(A206,Hospital!A:C,3,FALSE)="H","Hospital","Freestanding")</f>
        <v>Hospital</v>
      </c>
      <c r="AK206" s="1">
        <v>2024</v>
      </c>
    </row>
    <row r="207" spans="1:37">
      <c r="A207" s="1">
        <v>59001</v>
      </c>
      <c r="B207" s="1" t="s">
        <v>372</v>
      </c>
      <c r="C207" s="1">
        <v>252050</v>
      </c>
      <c r="D207" s="1">
        <v>0</v>
      </c>
      <c r="E207" s="1">
        <v>11125</v>
      </c>
      <c r="F207" s="1">
        <v>118998</v>
      </c>
      <c r="G207" s="1">
        <v>166130</v>
      </c>
      <c r="H207" s="1">
        <v>316085</v>
      </c>
      <c r="I207" s="1">
        <v>479847</v>
      </c>
      <c r="J207" s="1">
        <v>1223596</v>
      </c>
      <c r="K207" s="1">
        <v>100940</v>
      </c>
      <c r="L207" s="1">
        <v>62260</v>
      </c>
      <c r="M207" s="1">
        <v>0</v>
      </c>
      <c r="N207" s="1">
        <v>100326</v>
      </c>
      <c r="O207" s="1">
        <v>88463</v>
      </c>
      <c r="P207" s="1">
        <v>0</v>
      </c>
      <c r="Q207" s="1">
        <v>0</v>
      </c>
      <c r="R207" s="1">
        <v>13805</v>
      </c>
      <c r="S207" s="1">
        <v>0</v>
      </c>
      <c r="T207" s="1">
        <v>0</v>
      </c>
      <c r="U207" s="1">
        <v>361167</v>
      </c>
      <c r="V207" s="1">
        <v>-5259</v>
      </c>
      <c r="W207" s="1">
        <v>59468</v>
      </c>
      <c r="X207" s="1">
        <v>1870</v>
      </c>
      <c r="Y207" s="1">
        <v>79922</v>
      </c>
      <c r="Z207" s="1">
        <v>749</v>
      </c>
      <c r="AA207" s="1">
        <v>110434</v>
      </c>
      <c r="AB207" s="1">
        <v>322</v>
      </c>
      <c r="AC207" s="1">
        <v>127439</v>
      </c>
      <c r="AD207" s="1">
        <v>1322</v>
      </c>
      <c r="AE207" s="1">
        <f t="shared" si="15"/>
        <v>3288886</v>
      </c>
      <c r="AF207" s="9">
        <f t="shared" si="16"/>
        <v>7.6636891640512933E-2</v>
      </c>
      <c r="AG207" s="9">
        <f t="shared" si="17"/>
        <v>0</v>
      </c>
      <c r="AH207" s="9">
        <f t="shared" si="18"/>
        <v>3.3826043225578511E-3</v>
      </c>
      <c r="AI207" s="9">
        <f t="shared" si="19"/>
        <v>3.6181856105684418E-2</v>
      </c>
      <c r="AJ207" s="1" t="str">
        <f>IF(VLOOKUP(A207,Hospital!A:C,3,FALSE)="H","Hospital","Freestanding")</f>
        <v>Freestanding</v>
      </c>
      <c r="AK207" s="1">
        <v>2024</v>
      </c>
    </row>
    <row r="208" spans="1:37">
      <c r="A208" s="1">
        <v>59003</v>
      </c>
      <c r="B208" s="1" t="s">
        <v>373</v>
      </c>
      <c r="C208" s="1">
        <v>163901</v>
      </c>
      <c r="D208" s="1">
        <v>-562</v>
      </c>
      <c r="E208" s="1">
        <v>20698</v>
      </c>
      <c r="F208" s="1">
        <v>39378</v>
      </c>
      <c r="G208" s="1">
        <v>240621</v>
      </c>
      <c r="H208" s="1">
        <v>212088</v>
      </c>
      <c r="I208" s="1">
        <v>156818</v>
      </c>
      <c r="J208" s="1">
        <v>613373</v>
      </c>
      <c r="K208" s="1">
        <v>0</v>
      </c>
      <c r="L208" s="1">
        <v>38885</v>
      </c>
      <c r="M208" s="1">
        <v>0</v>
      </c>
      <c r="N208" s="1">
        <v>62466</v>
      </c>
      <c r="O208" s="1">
        <v>116671</v>
      </c>
      <c r="P208" s="1">
        <v>11007</v>
      </c>
      <c r="Q208" s="1">
        <v>0</v>
      </c>
      <c r="R208" s="1">
        <v>-1351</v>
      </c>
      <c r="S208" s="1">
        <v>0</v>
      </c>
      <c r="T208" s="1">
        <v>0</v>
      </c>
      <c r="U208" s="1">
        <v>272988</v>
      </c>
      <c r="V208" s="1">
        <v>-4779</v>
      </c>
      <c r="W208" s="1">
        <v>58984</v>
      </c>
      <c r="X208" s="1">
        <v>-694</v>
      </c>
      <c r="Y208" s="1">
        <v>93453</v>
      </c>
      <c r="Z208" s="1">
        <v>4288</v>
      </c>
      <c r="AA208" s="1">
        <v>76121</v>
      </c>
      <c r="AB208" s="1">
        <v>599</v>
      </c>
      <c r="AC208" s="1">
        <v>145151</v>
      </c>
      <c r="AD208" s="1">
        <v>-1236</v>
      </c>
      <c r="AE208" s="1">
        <f t="shared" si="15"/>
        <v>2095453</v>
      </c>
      <c r="AF208" s="9">
        <f t="shared" si="16"/>
        <v>7.8217454650617316E-2</v>
      </c>
      <c r="AG208" s="9">
        <f t="shared" si="17"/>
        <v>-2.6819976396511876E-4</v>
      </c>
      <c r="AH208" s="9">
        <f t="shared" si="18"/>
        <v>9.877577783896847E-3</v>
      </c>
      <c r="AI208" s="9">
        <f t="shared" si="19"/>
        <v>1.8792117981171613E-2</v>
      </c>
      <c r="AJ208" s="1" t="str">
        <f>IF(VLOOKUP(A208,Hospital!A:C,3,FALSE)="H","Hospital","Freestanding")</f>
        <v>Freestanding</v>
      </c>
      <c r="AK208" s="1">
        <v>2024</v>
      </c>
    </row>
    <row r="209" spans="1:37">
      <c r="A209" s="1">
        <v>60001</v>
      </c>
      <c r="B209" s="1" t="s">
        <v>374</v>
      </c>
      <c r="C209" s="1">
        <v>244059</v>
      </c>
      <c r="D209" s="1">
        <v>21391</v>
      </c>
      <c r="E209" s="1">
        <v>51245</v>
      </c>
      <c r="F209" s="1">
        <v>0</v>
      </c>
      <c r="G209" s="1">
        <v>204189</v>
      </c>
      <c r="H209" s="1">
        <v>320081</v>
      </c>
      <c r="I209" s="1">
        <v>634026</v>
      </c>
      <c r="J209" s="1">
        <v>419337</v>
      </c>
      <c r="K209" s="1">
        <v>479312</v>
      </c>
      <c r="L209" s="1">
        <v>0</v>
      </c>
      <c r="M209" s="1">
        <v>0</v>
      </c>
      <c r="N209" s="1">
        <v>63166</v>
      </c>
      <c r="O209" s="1">
        <v>257853</v>
      </c>
      <c r="P209" s="1">
        <v>16790</v>
      </c>
      <c r="Q209" s="1">
        <v>0</v>
      </c>
      <c r="R209" s="1">
        <v>0</v>
      </c>
      <c r="S209" s="1">
        <v>0</v>
      </c>
      <c r="T209" s="1">
        <v>0</v>
      </c>
      <c r="U209" s="1">
        <v>394474</v>
      </c>
      <c r="V209" s="1">
        <v>0</v>
      </c>
      <c r="W209" s="1">
        <v>88125</v>
      </c>
      <c r="X209" s="1">
        <v>0</v>
      </c>
      <c r="Y209" s="1">
        <v>158555</v>
      </c>
      <c r="Z209" s="1">
        <v>0</v>
      </c>
      <c r="AA209" s="1">
        <v>74778</v>
      </c>
      <c r="AB209" s="1">
        <v>0</v>
      </c>
      <c r="AC209" s="1">
        <v>104775</v>
      </c>
      <c r="AD209" s="1">
        <v>0</v>
      </c>
      <c r="AE209" s="1">
        <f t="shared" si="15"/>
        <v>3215461</v>
      </c>
      <c r="AF209" s="9">
        <f t="shared" si="16"/>
        <v>7.5901713626755227E-2</v>
      </c>
      <c r="AG209" s="9">
        <f t="shared" si="17"/>
        <v>6.6525453115431968E-3</v>
      </c>
      <c r="AH209" s="9">
        <f t="shared" si="18"/>
        <v>1.5937061590857424E-2</v>
      </c>
      <c r="AI209" s="9">
        <f t="shared" si="19"/>
        <v>0</v>
      </c>
      <c r="AJ209" s="1" t="str">
        <f>IF(VLOOKUP(A209,Hospital!A:C,3,FALSE)="H","Hospital","Freestanding")</f>
        <v>Freestanding</v>
      </c>
      <c r="AK209" s="1">
        <v>2024</v>
      </c>
    </row>
    <row r="210" spans="1:37">
      <c r="A210" s="1">
        <v>60003</v>
      </c>
      <c r="B210" s="1" t="s">
        <v>375</v>
      </c>
      <c r="C210" s="1">
        <v>480256</v>
      </c>
      <c r="D210" s="1">
        <v>10800</v>
      </c>
      <c r="E210" s="1">
        <v>26603</v>
      </c>
      <c r="F210" s="1">
        <v>83307</v>
      </c>
      <c r="G210" s="1">
        <v>561165</v>
      </c>
      <c r="H210" s="1">
        <v>651932</v>
      </c>
      <c r="I210" s="1">
        <v>728125</v>
      </c>
      <c r="J210" s="1">
        <v>2410338</v>
      </c>
      <c r="K210" s="1">
        <v>295127</v>
      </c>
      <c r="L210" s="1">
        <v>163943</v>
      </c>
      <c r="M210" s="1">
        <v>0</v>
      </c>
      <c r="N210" s="1">
        <v>118554</v>
      </c>
      <c r="O210" s="1">
        <v>213536</v>
      </c>
      <c r="P210" s="1">
        <v>52624</v>
      </c>
      <c r="Q210" s="1">
        <v>8662</v>
      </c>
      <c r="R210" s="1">
        <v>76838</v>
      </c>
      <c r="S210" s="1">
        <v>0</v>
      </c>
      <c r="T210" s="1">
        <v>0</v>
      </c>
      <c r="U210" s="1">
        <v>480140</v>
      </c>
      <c r="V210" s="1">
        <v>5882</v>
      </c>
      <c r="W210" s="1">
        <v>185713</v>
      </c>
      <c r="X210" s="1">
        <v>2736</v>
      </c>
      <c r="Y210" s="1">
        <v>207825</v>
      </c>
      <c r="Z210" s="1">
        <v>837</v>
      </c>
      <c r="AA210" s="1">
        <v>110997</v>
      </c>
      <c r="AB210" s="1">
        <v>2133</v>
      </c>
      <c r="AC210" s="1">
        <v>360076</v>
      </c>
      <c r="AD210" s="1">
        <v>3836</v>
      </c>
      <c r="AE210" s="1">
        <f t="shared" si="15"/>
        <v>6641019</v>
      </c>
      <c r="AF210" s="9">
        <f t="shared" si="16"/>
        <v>7.2316612857153392E-2</v>
      </c>
      <c r="AG210" s="9">
        <f t="shared" si="17"/>
        <v>1.6262564525112789E-3</v>
      </c>
      <c r="AH210" s="9">
        <f t="shared" si="18"/>
        <v>4.0058611487182915E-3</v>
      </c>
      <c r="AI210" s="9">
        <f t="shared" si="19"/>
        <v>1.2544309841607138E-2</v>
      </c>
      <c r="AJ210" s="1" t="str">
        <f>IF(VLOOKUP(A210,Hospital!A:C,3,FALSE)="H","Hospital","Freestanding")</f>
        <v>Freestanding</v>
      </c>
      <c r="AK210" s="1">
        <v>2024</v>
      </c>
    </row>
    <row r="211" spans="1:37">
      <c r="A211" s="1">
        <v>60006</v>
      </c>
      <c r="B211" s="1" t="s">
        <v>376</v>
      </c>
      <c r="C211" s="1">
        <v>275540</v>
      </c>
      <c r="D211" s="1">
        <v>650</v>
      </c>
      <c r="E211" s="1">
        <v>47795</v>
      </c>
      <c r="F211" s="1">
        <v>65251</v>
      </c>
      <c r="G211" s="1">
        <v>304936</v>
      </c>
      <c r="H211" s="1">
        <v>148643</v>
      </c>
      <c r="I211" s="1">
        <v>593684</v>
      </c>
      <c r="J211" s="1">
        <v>1280073</v>
      </c>
      <c r="K211" s="1">
        <v>351515</v>
      </c>
      <c r="L211" s="1">
        <v>42113</v>
      </c>
      <c r="M211" s="1">
        <v>0</v>
      </c>
      <c r="N211" s="1">
        <v>47238</v>
      </c>
      <c r="O211" s="1">
        <v>192457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335434</v>
      </c>
      <c r="V211" s="1">
        <v>0</v>
      </c>
      <c r="W211" s="1">
        <v>54575</v>
      </c>
      <c r="X211" s="1">
        <v>0</v>
      </c>
      <c r="Y211" s="1">
        <v>122115</v>
      </c>
      <c r="Z211" s="1">
        <v>0</v>
      </c>
      <c r="AA211" s="1">
        <v>81922</v>
      </c>
      <c r="AB211" s="1">
        <v>0</v>
      </c>
      <c r="AC211" s="1">
        <v>243665</v>
      </c>
      <c r="AD211" s="1">
        <v>0</v>
      </c>
      <c r="AE211" s="1">
        <f t="shared" si="15"/>
        <v>3798370</v>
      </c>
      <c r="AF211" s="9">
        <f t="shared" si="16"/>
        <v>7.2541642862596331E-2</v>
      </c>
      <c r="AG211" s="9">
        <f t="shared" si="17"/>
        <v>1.7112603564160416E-4</v>
      </c>
      <c r="AH211" s="9">
        <f t="shared" si="18"/>
        <v>1.2583029036139186E-2</v>
      </c>
      <c r="AI211" s="9">
        <f t="shared" si="19"/>
        <v>1.717868454100048E-2</v>
      </c>
      <c r="AJ211" s="1" t="str">
        <f>IF(VLOOKUP(A211,Hospital!A:C,3,FALSE)="H","Hospital","Freestanding")</f>
        <v>Freestanding</v>
      </c>
      <c r="AK211" s="1">
        <v>2024</v>
      </c>
    </row>
    <row r="212" spans="1:37">
      <c r="A212" s="1">
        <v>60008</v>
      </c>
      <c r="B212" s="1" t="s">
        <v>377</v>
      </c>
      <c r="C212" s="1">
        <v>0</v>
      </c>
      <c r="D212" s="1">
        <v>0</v>
      </c>
      <c r="E212" s="1">
        <v>28626</v>
      </c>
      <c r="F212" s="1">
        <v>0</v>
      </c>
      <c r="G212" s="1">
        <v>316542</v>
      </c>
      <c r="H212" s="1">
        <v>179537</v>
      </c>
      <c r="I212" s="1">
        <v>350294</v>
      </c>
      <c r="J212" s="1">
        <v>841674</v>
      </c>
      <c r="K212" s="1">
        <v>174320</v>
      </c>
      <c r="L212" s="1">
        <v>70210</v>
      </c>
      <c r="M212" s="1">
        <v>0</v>
      </c>
      <c r="N212" s="1">
        <v>25254</v>
      </c>
      <c r="O212" s="1">
        <v>118817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f t="shared" si="15"/>
        <v>2076648</v>
      </c>
      <c r="AF212" s="9">
        <f t="shared" si="16"/>
        <v>0</v>
      </c>
      <c r="AG212" s="9">
        <f t="shared" si="17"/>
        <v>0</v>
      </c>
      <c r="AH212" s="9">
        <f t="shared" si="18"/>
        <v>1.3784714597755614E-2</v>
      </c>
      <c r="AI212" s="9">
        <f t="shared" si="19"/>
        <v>0</v>
      </c>
      <c r="AJ212" s="1" t="str">
        <f>IF(VLOOKUP(A212,Hospital!A:C,3,FALSE)="H","Hospital","Freestanding")</f>
        <v>Hospital</v>
      </c>
      <c r="AK212" s="1">
        <v>2024</v>
      </c>
    </row>
    <row r="213" spans="1:37">
      <c r="A213" s="1">
        <v>61002</v>
      </c>
      <c r="B213" s="1" t="s">
        <v>378</v>
      </c>
      <c r="C213" s="1">
        <v>126428</v>
      </c>
      <c r="D213" s="1">
        <v>9159</v>
      </c>
      <c r="E213" s="1">
        <v>13835</v>
      </c>
      <c r="F213" s="1">
        <v>7352</v>
      </c>
      <c r="G213" s="1">
        <v>197889</v>
      </c>
      <c r="H213" s="1">
        <v>55217</v>
      </c>
      <c r="I213" s="1">
        <v>141518</v>
      </c>
      <c r="J213" s="1">
        <v>378655</v>
      </c>
      <c r="K213" s="1">
        <v>95346</v>
      </c>
      <c r="L213" s="1">
        <v>43453</v>
      </c>
      <c r="M213" s="1">
        <v>0</v>
      </c>
      <c r="N213" s="1">
        <v>2879</v>
      </c>
      <c r="O213" s="1">
        <v>130924</v>
      </c>
      <c r="P213" s="1">
        <v>0</v>
      </c>
      <c r="Q213" s="1">
        <v>0</v>
      </c>
      <c r="R213" s="1">
        <v>1550</v>
      </c>
      <c r="S213" s="1">
        <v>0</v>
      </c>
      <c r="T213" s="1">
        <v>0</v>
      </c>
      <c r="U213" s="1">
        <v>195824</v>
      </c>
      <c r="V213" s="1">
        <v>4300</v>
      </c>
      <c r="W213" s="1">
        <v>56292</v>
      </c>
      <c r="X213" s="1">
        <v>1395</v>
      </c>
      <c r="Y213" s="1">
        <v>69270</v>
      </c>
      <c r="Z213" s="1">
        <v>-3721</v>
      </c>
      <c r="AA213" s="1">
        <v>167093</v>
      </c>
      <c r="AB213" s="1">
        <v>1224</v>
      </c>
      <c r="AC213" s="1">
        <v>192499</v>
      </c>
      <c r="AD213" s="1">
        <v>5</v>
      </c>
      <c r="AE213" s="1">
        <f t="shared" si="15"/>
        <v>1731612</v>
      </c>
      <c r="AF213" s="9">
        <f t="shared" si="16"/>
        <v>7.3011737040399344E-2</v>
      </c>
      <c r="AG213" s="9">
        <f t="shared" si="17"/>
        <v>5.2892911345035721E-3</v>
      </c>
      <c r="AH213" s="9">
        <f t="shared" si="18"/>
        <v>7.9896651212858303E-3</v>
      </c>
      <c r="AI213" s="9">
        <f t="shared" si="19"/>
        <v>4.2457548226739012E-3</v>
      </c>
      <c r="AJ213" s="1" t="str">
        <f>IF(VLOOKUP(A213,Hospital!A:C,3,FALSE)="H","Hospital","Freestanding")</f>
        <v>Freestanding</v>
      </c>
      <c r="AK213" s="1">
        <v>2024</v>
      </c>
    </row>
    <row r="214" spans="1:37">
      <c r="A214" s="1">
        <v>61003</v>
      </c>
      <c r="B214" s="1" t="s">
        <v>379</v>
      </c>
      <c r="C214" s="1">
        <v>307446</v>
      </c>
      <c r="D214" s="1">
        <v>14263</v>
      </c>
      <c r="E214" s="1">
        <v>168828</v>
      </c>
      <c r="F214" s="1">
        <v>44543</v>
      </c>
      <c r="G214" s="1">
        <v>142434</v>
      </c>
      <c r="H214" s="1">
        <v>506163</v>
      </c>
      <c r="I214" s="1">
        <v>603849</v>
      </c>
      <c r="J214" s="1">
        <v>960986</v>
      </c>
      <c r="K214" s="1">
        <v>422082</v>
      </c>
      <c r="L214" s="1">
        <v>97018</v>
      </c>
      <c r="M214" s="1">
        <v>0</v>
      </c>
      <c r="N214" s="1">
        <v>56678</v>
      </c>
      <c r="O214" s="1">
        <v>166733</v>
      </c>
      <c r="P214" s="1">
        <v>16047</v>
      </c>
      <c r="Q214" s="1">
        <v>0</v>
      </c>
      <c r="R214" s="1">
        <v>0</v>
      </c>
      <c r="S214" s="1">
        <v>0</v>
      </c>
      <c r="T214" s="1">
        <v>0</v>
      </c>
      <c r="U214" s="1">
        <v>411328</v>
      </c>
      <c r="V214" s="1">
        <v>0</v>
      </c>
      <c r="W214" s="1">
        <v>54149</v>
      </c>
      <c r="X214" s="1">
        <v>0</v>
      </c>
      <c r="Y214" s="1">
        <v>153054</v>
      </c>
      <c r="Z214" s="1">
        <v>0</v>
      </c>
      <c r="AA214" s="1">
        <v>161696</v>
      </c>
      <c r="AB214" s="1">
        <v>0</v>
      </c>
      <c r="AC214" s="1">
        <v>410724</v>
      </c>
      <c r="AD214" s="1">
        <v>0</v>
      </c>
      <c r="AE214" s="1">
        <f t="shared" si="15"/>
        <v>4162941</v>
      </c>
      <c r="AF214" s="9">
        <f t="shared" si="16"/>
        <v>7.3853076466853601E-2</v>
      </c>
      <c r="AG214" s="9">
        <f t="shared" si="17"/>
        <v>3.4261835562886911E-3</v>
      </c>
      <c r="AH214" s="9">
        <f t="shared" si="18"/>
        <v>4.0554982643280314E-2</v>
      </c>
      <c r="AI214" s="9">
        <f t="shared" si="19"/>
        <v>1.0699887411327713E-2</v>
      </c>
      <c r="AJ214" s="1" t="str">
        <f>IF(VLOOKUP(A214,Hospital!A:C,3,FALSE)="H","Hospital","Freestanding")</f>
        <v>Freestanding</v>
      </c>
      <c r="AK214" s="1">
        <v>2024</v>
      </c>
    </row>
    <row r="215" spans="1:37">
      <c r="A215" s="1">
        <v>62002</v>
      </c>
      <c r="B215" s="1" t="s">
        <v>380</v>
      </c>
      <c r="C215" s="1">
        <v>204916</v>
      </c>
      <c r="D215" s="1">
        <v>9444</v>
      </c>
      <c r="E215" s="1">
        <v>77842</v>
      </c>
      <c r="F215" s="1">
        <v>197350</v>
      </c>
      <c r="G215" s="1">
        <v>211938</v>
      </c>
      <c r="H215" s="1">
        <v>217908</v>
      </c>
      <c r="I215" s="1">
        <v>441570</v>
      </c>
      <c r="J215" s="1">
        <v>733896</v>
      </c>
      <c r="K215" s="1">
        <v>320353</v>
      </c>
      <c r="L215" s="1">
        <v>62099</v>
      </c>
      <c r="M215" s="1">
        <v>0</v>
      </c>
      <c r="N215" s="1">
        <v>27610</v>
      </c>
      <c r="O215" s="1">
        <v>75640</v>
      </c>
      <c r="P215" s="1">
        <v>56150</v>
      </c>
      <c r="Q215" s="1">
        <v>0</v>
      </c>
      <c r="R215" s="1">
        <v>0</v>
      </c>
      <c r="S215" s="1">
        <v>0</v>
      </c>
      <c r="T215" s="1">
        <v>0</v>
      </c>
      <c r="U215" s="1">
        <v>20314</v>
      </c>
      <c r="V215" s="1">
        <v>0</v>
      </c>
      <c r="W215" s="1">
        <v>27195</v>
      </c>
      <c r="X215" s="1">
        <v>0</v>
      </c>
      <c r="Y215" s="1">
        <v>331535</v>
      </c>
      <c r="Z215" s="1">
        <v>0</v>
      </c>
      <c r="AA215" s="1">
        <v>129721</v>
      </c>
      <c r="AB215" s="1">
        <v>0</v>
      </c>
      <c r="AC215" s="1">
        <v>372485</v>
      </c>
      <c r="AD215" s="1">
        <v>0</v>
      </c>
      <c r="AE215" s="1">
        <f t="shared" si="15"/>
        <v>3028414</v>
      </c>
      <c r="AF215" s="9">
        <f t="shared" si="16"/>
        <v>6.7664460671493398E-2</v>
      </c>
      <c r="AG215" s="9">
        <f t="shared" si="17"/>
        <v>3.1184639880808898E-3</v>
      </c>
      <c r="AH215" s="9">
        <f t="shared" si="18"/>
        <v>2.5703883286763301E-2</v>
      </c>
      <c r="AI215" s="9">
        <f t="shared" si="19"/>
        <v>6.5166123257916514E-2</v>
      </c>
      <c r="AJ215" s="1" t="str">
        <f>IF(VLOOKUP(A215,Hospital!A:C,3,FALSE)="H","Hospital","Freestanding")</f>
        <v>Freestanding</v>
      </c>
      <c r="AK215" s="1">
        <v>2024</v>
      </c>
    </row>
    <row r="216" spans="1:37">
      <c r="A216" s="1">
        <v>62003</v>
      </c>
      <c r="B216" s="1" t="s">
        <v>381</v>
      </c>
      <c r="C216" s="1">
        <v>259572</v>
      </c>
      <c r="D216" s="1">
        <v>15426</v>
      </c>
      <c r="E216" s="1">
        <v>28817</v>
      </c>
      <c r="F216" s="1">
        <v>18943</v>
      </c>
      <c r="G216" s="1">
        <v>237303</v>
      </c>
      <c r="H216" s="1">
        <v>611907</v>
      </c>
      <c r="I216" s="1">
        <v>425188</v>
      </c>
      <c r="J216" s="1">
        <v>1015104</v>
      </c>
      <c r="K216" s="1">
        <v>252598</v>
      </c>
      <c r="L216" s="1">
        <v>59554</v>
      </c>
      <c r="M216" s="1">
        <v>15763</v>
      </c>
      <c r="N216" s="1">
        <v>119486</v>
      </c>
      <c r="O216" s="1">
        <v>84645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318208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42728</v>
      </c>
      <c r="AB216" s="1">
        <v>0</v>
      </c>
      <c r="AC216" s="1">
        <v>256940</v>
      </c>
      <c r="AD216" s="1">
        <v>0</v>
      </c>
      <c r="AE216" s="1">
        <f t="shared" si="15"/>
        <v>3439424</v>
      </c>
      <c r="AF216" s="9">
        <f t="shared" si="16"/>
        <v>7.5469613516681869E-2</v>
      </c>
      <c r="AG216" s="9">
        <f t="shared" si="17"/>
        <v>4.4850533112521162E-3</v>
      </c>
      <c r="AH216" s="9">
        <f t="shared" si="18"/>
        <v>8.3784377849314296E-3</v>
      </c>
      <c r="AI216" s="9">
        <f t="shared" si="19"/>
        <v>5.5076082506838354E-3</v>
      </c>
      <c r="AJ216" s="1" t="str">
        <f>IF(VLOOKUP(A216,Hospital!A:C,3,FALSE)="H","Hospital","Freestanding")</f>
        <v>Freestanding</v>
      </c>
      <c r="AK216" s="1">
        <v>2024</v>
      </c>
    </row>
    <row r="217" spans="1:37">
      <c r="A217" s="1">
        <v>62004</v>
      </c>
      <c r="B217" s="1" t="s">
        <v>382</v>
      </c>
      <c r="C217" s="1">
        <v>149080</v>
      </c>
      <c r="D217" s="1">
        <v>9184</v>
      </c>
      <c r="E217" s="1">
        <v>40463</v>
      </c>
      <c r="F217" s="1">
        <v>0</v>
      </c>
      <c r="G217" s="1">
        <v>154712</v>
      </c>
      <c r="H217" s="1">
        <v>193957</v>
      </c>
      <c r="I217" s="1">
        <v>137130</v>
      </c>
      <c r="J217" s="1">
        <v>330961</v>
      </c>
      <c r="K217" s="1">
        <v>0</v>
      </c>
      <c r="L217" s="1">
        <v>125385</v>
      </c>
      <c r="M217" s="1">
        <v>0</v>
      </c>
      <c r="N217" s="1">
        <v>96315</v>
      </c>
      <c r="O217" s="1">
        <v>67542</v>
      </c>
      <c r="P217" s="1">
        <v>0</v>
      </c>
      <c r="Q217" s="1">
        <v>54570</v>
      </c>
      <c r="R217" s="1">
        <v>0</v>
      </c>
      <c r="S217" s="1">
        <v>0</v>
      </c>
      <c r="T217" s="1">
        <v>0</v>
      </c>
      <c r="U217" s="1">
        <v>279804</v>
      </c>
      <c r="V217" s="1">
        <v>0</v>
      </c>
      <c r="W217" s="1">
        <v>77809</v>
      </c>
      <c r="X217" s="1">
        <v>0</v>
      </c>
      <c r="Y217" s="1">
        <v>75015</v>
      </c>
      <c r="Z217" s="1">
        <v>0</v>
      </c>
      <c r="AA217" s="1">
        <v>72029</v>
      </c>
      <c r="AB217" s="1">
        <v>0</v>
      </c>
      <c r="AC217" s="1">
        <v>344460</v>
      </c>
      <c r="AD217" s="1">
        <v>0</v>
      </c>
      <c r="AE217" s="1">
        <f t="shared" si="15"/>
        <v>2009689</v>
      </c>
      <c r="AF217" s="9">
        <f t="shared" si="16"/>
        <v>7.4180631928621787E-2</v>
      </c>
      <c r="AG217" s="9">
        <f t="shared" si="17"/>
        <v>4.5698613068987292E-3</v>
      </c>
      <c r="AH217" s="9">
        <f t="shared" si="18"/>
        <v>2.013396102581046E-2</v>
      </c>
      <c r="AI217" s="9">
        <f t="shared" si="19"/>
        <v>0</v>
      </c>
      <c r="AJ217" s="1" t="str">
        <f>IF(VLOOKUP(A217,Hospital!A:C,3,FALSE)="H","Hospital","Freestanding")</f>
        <v>Freestanding</v>
      </c>
      <c r="AK217" s="1">
        <v>2024</v>
      </c>
    </row>
    <row r="218" spans="1:37">
      <c r="A218" s="1">
        <v>62006</v>
      </c>
      <c r="B218" s="1" t="s">
        <v>383</v>
      </c>
      <c r="C218" s="1">
        <v>292585</v>
      </c>
      <c r="D218" s="1">
        <v>41159</v>
      </c>
      <c r="E218" s="1">
        <v>20587</v>
      </c>
      <c r="F218" s="1">
        <v>0</v>
      </c>
      <c r="G218" s="1">
        <v>392365</v>
      </c>
      <c r="H218" s="1">
        <v>535316</v>
      </c>
      <c r="I218" s="1">
        <v>556844</v>
      </c>
      <c r="J218" s="1">
        <v>1168415</v>
      </c>
      <c r="K218" s="1">
        <v>10711</v>
      </c>
      <c r="L218" s="1">
        <v>96545</v>
      </c>
      <c r="M218" s="1">
        <v>0</v>
      </c>
      <c r="N218" s="1">
        <v>139709</v>
      </c>
      <c r="O218" s="1">
        <v>106432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440604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74091</v>
      </c>
      <c r="AB218" s="1">
        <v>0</v>
      </c>
      <c r="AC218" s="1">
        <v>341722</v>
      </c>
      <c r="AD218" s="1">
        <v>0</v>
      </c>
      <c r="AE218" s="1">
        <f t="shared" si="15"/>
        <v>3862754</v>
      </c>
      <c r="AF218" s="9">
        <f t="shared" si="16"/>
        <v>7.5745180769989498E-2</v>
      </c>
      <c r="AG218" s="9">
        <f t="shared" si="17"/>
        <v>1.0655351078531017E-2</v>
      </c>
      <c r="AH218" s="9">
        <f t="shared" si="18"/>
        <v>5.3296171591563947E-3</v>
      </c>
      <c r="AI218" s="9">
        <f t="shared" si="19"/>
        <v>0</v>
      </c>
      <c r="AJ218" s="1" t="str">
        <f>IF(VLOOKUP(A218,Hospital!A:C,3,FALSE)="H","Hospital","Freestanding")</f>
        <v>Freestanding</v>
      </c>
      <c r="AK218" s="1">
        <v>2024</v>
      </c>
    </row>
    <row r="219" spans="1:37">
      <c r="A219" s="1">
        <v>62007</v>
      </c>
      <c r="B219" s="1" t="s">
        <v>384</v>
      </c>
      <c r="C219" s="1">
        <v>368915</v>
      </c>
      <c r="D219" s="1">
        <v>0</v>
      </c>
      <c r="E219" s="1">
        <v>92726</v>
      </c>
      <c r="F219" s="1">
        <v>194298</v>
      </c>
      <c r="G219" s="1">
        <v>241084</v>
      </c>
      <c r="H219" s="1">
        <v>1339097</v>
      </c>
      <c r="I219" s="1">
        <v>566990</v>
      </c>
      <c r="J219" s="1">
        <v>1335000</v>
      </c>
      <c r="K219" s="1">
        <v>75668</v>
      </c>
      <c r="L219" s="1">
        <v>183051</v>
      </c>
      <c r="M219" s="1">
        <v>0</v>
      </c>
      <c r="N219" s="1">
        <v>194383</v>
      </c>
      <c r="O219" s="1">
        <v>63393</v>
      </c>
      <c r="P219" s="1">
        <v>30343</v>
      </c>
      <c r="Q219" s="1">
        <v>0</v>
      </c>
      <c r="R219" s="1">
        <v>-9107</v>
      </c>
      <c r="S219" s="1">
        <v>0</v>
      </c>
      <c r="T219" s="1">
        <v>0</v>
      </c>
      <c r="U219" s="1">
        <v>500024</v>
      </c>
      <c r="V219" s="1">
        <v>-451</v>
      </c>
      <c r="W219" s="1">
        <v>40976</v>
      </c>
      <c r="X219" s="1">
        <v>506</v>
      </c>
      <c r="Y219" s="1">
        <v>133239</v>
      </c>
      <c r="Z219" s="1">
        <v>2378</v>
      </c>
      <c r="AA219" s="1">
        <v>96065</v>
      </c>
      <c r="AB219" s="1">
        <v>92</v>
      </c>
      <c r="AC219" s="1">
        <v>196064</v>
      </c>
      <c r="AD219" s="1">
        <v>1170</v>
      </c>
      <c r="AE219" s="1">
        <f t="shared" si="15"/>
        <v>4989965</v>
      </c>
      <c r="AF219" s="9">
        <f t="shared" si="16"/>
        <v>7.3931380280222406E-2</v>
      </c>
      <c r="AG219" s="9">
        <f t="shared" si="17"/>
        <v>0</v>
      </c>
      <c r="AH219" s="9">
        <f t="shared" si="18"/>
        <v>1.8582495067600676E-2</v>
      </c>
      <c r="AI219" s="9">
        <f t="shared" si="19"/>
        <v>3.8937748060357137E-2</v>
      </c>
      <c r="AJ219" s="1" t="str">
        <f>IF(VLOOKUP(A219,Hospital!A:C,3,FALSE)="H","Hospital","Freestanding")</f>
        <v>Freestanding</v>
      </c>
      <c r="AK219" s="1">
        <v>2024</v>
      </c>
    </row>
    <row r="220" spans="1:37">
      <c r="A220" s="1">
        <v>62008</v>
      </c>
      <c r="B220" s="1" t="s">
        <v>385</v>
      </c>
      <c r="C220" s="1">
        <v>590910</v>
      </c>
      <c r="D220" s="1">
        <v>47296</v>
      </c>
      <c r="E220" s="1">
        <v>54772</v>
      </c>
      <c r="F220" s="1">
        <v>78770</v>
      </c>
      <c r="G220" s="1">
        <v>621479</v>
      </c>
      <c r="H220" s="1">
        <v>2271434</v>
      </c>
      <c r="I220" s="1">
        <v>686072</v>
      </c>
      <c r="J220" s="1">
        <v>2532610</v>
      </c>
      <c r="K220" s="1">
        <v>203758</v>
      </c>
      <c r="L220" s="1">
        <v>146566</v>
      </c>
      <c r="M220" s="1">
        <v>0</v>
      </c>
      <c r="N220" s="1">
        <v>163934</v>
      </c>
      <c r="O220" s="1">
        <v>83539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495534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94604</v>
      </c>
      <c r="AB220" s="1">
        <v>0</v>
      </c>
      <c r="AC220" s="1">
        <v>487586</v>
      </c>
      <c r="AD220" s="1">
        <v>0</v>
      </c>
      <c r="AE220" s="1">
        <f t="shared" si="15"/>
        <v>7787116</v>
      </c>
      <c r="AF220" s="9">
        <f t="shared" si="16"/>
        <v>7.5883035516614877E-2</v>
      </c>
      <c r="AG220" s="9">
        <f t="shared" si="17"/>
        <v>6.0736221214631961E-3</v>
      </c>
      <c r="AH220" s="9">
        <f t="shared" si="18"/>
        <v>7.0336694611971874E-3</v>
      </c>
      <c r="AI220" s="9">
        <f t="shared" si="19"/>
        <v>1.0115426558433187E-2</v>
      </c>
      <c r="AJ220" s="1" t="str">
        <f>IF(VLOOKUP(A220,Hospital!A:C,3,FALSE)="H","Hospital","Freestanding")</f>
        <v>Freestanding</v>
      </c>
      <c r="AK220" s="1">
        <v>2024</v>
      </c>
    </row>
    <row r="221" spans="1:37">
      <c r="A221" s="1">
        <v>62009</v>
      </c>
      <c r="B221" s="1" t="s">
        <v>386</v>
      </c>
      <c r="C221" s="1">
        <v>780661</v>
      </c>
      <c r="D221" s="1">
        <v>23686</v>
      </c>
      <c r="E221" s="1">
        <v>269156</v>
      </c>
      <c r="F221" s="1">
        <v>120221</v>
      </c>
      <c r="G221" s="1">
        <v>510902</v>
      </c>
      <c r="H221" s="1">
        <v>1542941</v>
      </c>
      <c r="I221" s="1">
        <v>1905422</v>
      </c>
      <c r="J221" s="1">
        <v>3536367</v>
      </c>
      <c r="K221" s="1">
        <v>35023</v>
      </c>
      <c r="L221" s="1">
        <v>184364</v>
      </c>
      <c r="M221" s="1">
        <v>0</v>
      </c>
      <c r="N221" s="1">
        <v>427035</v>
      </c>
      <c r="O221" s="1">
        <v>117114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601958</v>
      </c>
      <c r="V221" s="1">
        <v>0</v>
      </c>
      <c r="W221" s="1">
        <v>7173</v>
      </c>
      <c r="X221" s="1">
        <v>0</v>
      </c>
      <c r="Y221" s="1">
        <v>493414</v>
      </c>
      <c r="Z221" s="1">
        <v>0</v>
      </c>
      <c r="AA221" s="1">
        <v>203098</v>
      </c>
      <c r="AB221" s="1">
        <v>0</v>
      </c>
      <c r="AC221" s="1">
        <v>655627</v>
      </c>
      <c r="AD221" s="1">
        <v>0</v>
      </c>
      <c r="AE221" s="1">
        <f t="shared" si="15"/>
        <v>10220438</v>
      </c>
      <c r="AF221" s="9">
        <f t="shared" si="16"/>
        <v>7.6382342909374332E-2</v>
      </c>
      <c r="AG221" s="9">
        <f t="shared" si="17"/>
        <v>2.317513202467448E-3</v>
      </c>
      <c r="AH221" s="9">
        <f t="shared" si="18"/>
        <v>2.6335074876438758E-2</v>
      </c>
      <c r="AI221" s="9">
        <f t="shared" si="19"/>
        <v>1.1762803120570762E-2</v>
      </c>
      <c r="AJ221" s="1" t="str">
        <f>IF(VLOOKUP(A221,Hospital!A:C,3,FALSE)="H","Hospital","Freestanding")</f>
        <v>Freestanding</v>
      </c>
      <c r="AK221" s="1">
        <v>2024</v>
      </c>
    </row>
    <row r="222" spans="1:37">
      <c r="A222" s="1">
        <v>62010</v>
      </c>
      <c r="B222" s="1" t="s">
        <v>387</v>
      </c>
      <c r="C222" s="1">
        <v>357902</v>
      </c>
      <c r="D222" s="1">
        <v>5877</v>
      </c>
      <c r="E222" s="1">
        <v>48145</v>
      </c>
      <c r="F222" s="1">
        <v>16338</v>
      </c>
      <c r="G222" s="1">
        <v>354079</v>
      </c>
      <c r="H222" s="1">
        <v>745696</v>
      </c>
      <c r="I222" s="1">
        <v>632175</v>
      </c>
      <c r="J222" s="1">
        <v>1270942</v>
      </c>
      <c r="K222" s="1">
        <v>0</v>
      </c>
      <c r="L222" s="1">
        <v>91370</v>
      </c>
      <c r="M222" s="1">
        <v>0</v>
      </c>
      <c r="N222" s="1">
        <v>96755</v>
      </c>
      <c r="O222" s="1">
        <v>165817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409508</v>
      </c>
      <c r="V222" s="1">
        <v>0</v>
      </c>
      <c r="W222" s="1">
        <v>75906</v>
      </c>
      <c r="X222" s="1">
        <v>0</v>
      </c>
      <c r="Y222" s="1">
        <v>317650</v>
      </c>
      <c r="Z222" s="1">
        <v>0</v>
      </c>
      <c r="AA222" s="1">
        <v>96672</v>
      </c>
      <c r="AB222" s="1">
        <v>0</v>
      </c>
      <c r="AC222" s="1">
        <v>241463</v>
      </c>
      <c r="AD222" s="1">
        <v>0</v>
      </c>
      <c r="AE222" s="1">
        <f t="shared" si="15"/>
        <v>4498033</v>
      </c>
      <c r="AF222" s="9">
        <f t="shared" si="16"/>
        <v>7.9568558078609034E-2</v>
      </c>
      <c r="AG222" s="9">
        <f t="shared" si="17"/>
        <v>1.3065711167525894E-3</v>
      </c>
      <c r="AH222" s="9">
        <f t="shared" si="18"/>
        <v>1.0703567537187922E-2</v>
      </c>
      <c r="AI222" s="9">
        <f t="shared" si="19"/>
        <v>3.6322543654081683E-3</v>
      </c>
      <c r="AJ222" s="1" t="str">
        <f>IF(VLOOKUP(A222,Hospital!A:C,3,FALSE)="H","Hospital","Freestanding")</f>
        <v>Freestanding</v>
      </c>
      <c r="AK222" s="1">
        <v>2024</v>
      </c>
    </row>
    <row r="223" spans="1:37">
      <c r="A223" s="1">
        <v>62011</v>
      </c>
      <c r="B223" s="1" t="s">
        <v>388</v>
      </c>
      <c r="C223" s="1">
        <v>122237</v>
      </c>
      <c r="D223" s="1">
        <v>0</v>
      </c>
      <c r="E223" s="1">
        <v>20510</v>
      </c>
      <c r="F223" s="1">
        <v>23624</v>
      </c>
      <c r="G223" s="1">
        <v>101838</v>
      </c>
      <c r="H223" s="1">
        <v>150290</v>
      </c>
      <c r="I223" s="1">
        <v>209272</v>
      </c>
      <c r="J223" s="1">
        <v>0</v>
      </c>
      <c r="K223" s="1">
        <v>300995</v>
      </c>
      <c r="L223" s="1">
        <v>47501</v>
      </c>
      <c r="M223" s="1">
        <v>0</v>
      </c>
      <c r="N223" s="1">
        <v>55183</v>
      </c>
      <c r="O223" s="1">
        <v>51402</v>
      </c>
      <c r="P223" s="1">
        <v>0</v>
      </c>
      <c r="Q223" s="1">
        <v>0</v>
      </c>
      <c r="R223" s="1">
        <v>6534</v>
      </c>
      <c r="S223" s="1">
        <v>0</v>
      </c>
      <c r="T223" s="1">
        <v>0</v>
      </c>
      <c r="U223" s="1">
        <v>189103</v>
      </c>
      <c r="V223" s="1">
        <v>4043</v>
      </c>
      <c r="W223" s="1">
        <v>38397</v>
      </c>
      <c r="X223" s="1">
        <v>0</v>
      </c>
      <c r="Y223" s="1">
        <v>150163</v>
      </c>
      <c r="Z223" s="1">
        <v>-578</v>
      </c>
      <c r="AA223" s="1">
        <v>0</v>
      </c>
      <c r="AB223" s="1">
        <v>0</v>
      </c>
      <c r="AC223" s="1">
        <v>162593</v>
      </c>
      <c r="AD223" s="1">
        <v>-653</v>
      </c>
      <c r="AE223" s="1">
        <f t="shared" si="15"/>
        <v>1466083</v>
      </c>
      <c r="AF223" s="9">
        <f t="shared" si="16"/>
        <v>8.3376589183559183E-2</v>
      </c>
      <c r="AG223" s="9">
        <f t="shared" si="17"/>
        <v>0</v>
      </c>
      <c r="AH223" s="9">
        <f t="shared" si="18"/>
        <v>1.3989658157143901E-2</v>
      </c>
      <c r="AI223" s="9">
        <f t="shared" si="19"/>
        <v>1.611368524155863E-2</v>
      </c>
      <c r="AJ223" s="1" t="str">
        <f>IF(VLOOKUP(A223,Hospital!A:C,3,FALSE)="H","Hospital","Freestanding")</f>
        <v>Freestanding</v>
      </c>
      <c r="AK223" s="1">
        <v>2024</v>
      </c>
    </row>
    <row r="224" spans="1:37">
      <c r="A224" s="1">
        <v>62012</v>
      </c>
      <c r="B224" s="1" t="s">
        <v>389</v>
      </c>
      <c r="C224" s="1">
        <v>462082</v>
      </c>
      <c r="D224" s="1">
        <v>52036</v>
      </c>
      <c r="E224" s="1">
        <v>125119</v>
      </c>
      <c r="F224" s="1">
        <v>83958</v>
      </c>
      <c r="G224" s="1">
        <v>413789</v>
      </c>
      <c r="H224" s="1">
        <v>1412501</v>
      </c>
      <c r="I224" s="1">
        <v>812573</v>
      </c>
      <c r="J224" s="1">
        <v>1757980</v>
      </c>
      <c r="K224" s="1">
        <v>95490</v>
      </c>
      <c r="L224" s="1">
        <v>113999</v>
      </c>
      <c r="M224" s="1">
        <v>0</v>
      </c>
      <c r="N224" s="1">
        <v>135999</v>
      </c>
      <c r="O224" s="1">
        <v>164676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461508</v>
      </c>
      <c r="V224" s="1">
        <v>0</v>
      </c>
      <c r="W224" s="1">
        <v>73131</v>
      </c>
      <c r="X224" s="1">
        <v>0</v>
      </c>
      <c r="Y224" s="1">
        <v>282324</v>
      </c>
      <c r="Z224" s="1">
        <v>0</v>
      </c>
      <c r="AA224" s="1">
        <v>117464</v>
      </c>
      <c r="AB224" s="1">
        <v>0</v>
      </c>
      <c r="AC224" s="1">
        <v>422368</v>
      </c>
      <c r="AD224" s="1">
        <v>0</v>
      </c>
      <c r="AE224" s="1">
        <f t="shared" si="15"/>
        <v>6263802</v>
      </c>
      <c r="AF224" s="9">
        <f t="shared" si="16"/>
        <v>7.3770211765953012E-2</v>
      </c>
      <c r="AG224" s="9">
        <f t="shared" si="17"/>
        <v>8.3074145702562111E-3</v>
      </c>
      <c r="AH224" s="9">
        <f t="shared" si="18"/>
        <v>1.9974928964868303E-2</v>
      </c>
      <c r="AI224" s="9">
        <f t="shared" si="19"/>
        <v>1.3403680384533228E-2</v>
      </c>
      <c r="AJ224" s="1" t="str">
        <f>IF(VLOOKUP(A224,Hospital!A:C,3,FALSE)="H","Hospital","Freestanding")</f>
        <v>Freestanding</v>
      </c>
      <c r="AK224" s="1">
        <v>2024</v>
      </c>
    </row>
    <row r="225" spans="1:37">
      <c r="A225" s="1">
        <v>62013</v>
      </c>
      <c r="B225" s="1" t="s">
        <v>390</v>
      </c>
      <c r="C225" s="1">
        <v>656078</v>
      </c>
      <c r="D225" s="1">
        <v>895</v>
      </c>
      <c r="E225" s="1">
        <v>82999</v>
      </c>
      <c r="F225" s="1">
        <v>276722</v>
      </c>
      <c r="G225" s="1">
        <v>619639</v>
      </c>
      <c r="H225" s="1">
        <v>1542477</v>
      </c>
      <c r="I225" s="1">
        <v>397052</v>
      </c>
      <c r="J225" s="1">
        <v>3145969</v>
      </c>
      <c r="K225" s="1">
        <v>816122</v>
      </c>
      <c r="L225" s="1">
        <v>229610</v>
      </c>
      <c r="M225" s="1">
        <v>0</v>
      </c>
      <c r="N225" s="1">
        <v>268867</v>
      </c>
      <c r="O225" s="1">
        <v>229394</v>
      </c>
      <c r="P225" s="1">
        <v>107958</v>
      </c>
      <c r="Q225" s="1">
        <v>0</v>
      </c>
      <c r="R225" s="1">
        <v>74748</v>
      </c>
      <c r="S225" s="1">
        <v>0</v>
      </c>
      <c r="T225" s="1">
        <v>0</v>
      </c>
      <c r="U225" s="1">
        <v>1365911</v>
      </c>
      <c r="V225" s="1">
        <v>6136</v>
      </c>
      <c r="W225" s="1">
        <v>0</v>
      </c>
      <c r="X225" s="1">
        <v>0</v>
      </c>
      <c r="Y225" s="1">
        <v>349186</v>
      </c>
      <c r="Z225" s="1">
        <v>3054</v>
      </c>
      <c r="AA225" s="1">
        <v>61664</v>
      </c>
      <c r="AB225" s="1">
        <v>-1049</v>
      </c>
      <c r="AC225" s="1">
        <v>526929</v>
      </c>
      <c r="AD225" s="1">
        <v>-4496</v>
      </c>
      <c r="AE225" s="1">
        <f t="shared" si="15"/>
        <v>9739171</v>
      </c>
      <c r="AF225" s="9">
        <f t="shared" si="16"/>
        <v>6.7364871198996298E-2</v>
      </c>
      <c r="AG225" s="9">
        <f t="shared" si="17"/>
        <v>9.189693866141173E-5</v>
      </c>
      <c r="AH225" s="9">
        <f t="shared" si="18"/>
        <v>8.52218325358493E-3</v>
      </c>
      <c r="AI225" s="9">
        <f t="shared" si="19"/>
        <v>2.8413301296383441E-2</v>
      </c>
      <c r="AJ225" s="1" t="str">
        <f>IF(VLOOKUP(A225,Hospital!A:C,3,FALSE)="H","Hospital","Freestanding")</f>
        <v>Freestanding</v>
      </c>
      <c r="AK225" s="1">
        <v>2024</v>
      </c>
    </row>
    <row r="226" spans="1:37">
      <c r="A226" s="1">
        <v>62015</v>
      </c>
      <c r="B226" s="1" t="s">
        <v>391</v>
      </c>
      <c r="C226" s="1">
        <v>1323591</v>
      </c>
      <c r="D226" s="1">
        <v>36269</v>
      </c>
      <c r="E226" s="1">
        <v>225003</v>
      </c>
      <c r="F226" s="1">
        <v>468382</v>
      </c>
      <c r="G226" s="1">
        <v>909007</v>
      </c>
      <c r="H226" s="1">
        <v>3335710</v>
      </c>
      <c r="I226" s="1">
        <v>1593700</v>
      </c>
      <c r="J226" s="1">
        <v>5079102</v>
      </c>
      <c r="K226" s="1">
        <v>2561332</v>
      </c>
      <c r="L226" s="1">
        <v>373801</v>
      </c>
      <c r="M226" s="1">
        <v>0</v>
      </c>
      <c r="N226" s="1">
        <v>446476</v>
      </c>
      <c r="O226" s="1">
        <v>415131</v>
      </c>
      <c r="P226" s="1">
        <v>109974</v>
      </c>
      <c r="Q226" s="1">
        <v>0</v>
      </c>
      <c r="R226" s="1">
        <v>16990</v>
      </c>
      <c r="S226" s="1">
        <v>0</v>
      </c>
      <c r="T226" s="1">
        <v>0</v>
      </c>
      <c r="U226" s="1">
        <v>1477658</v>
      </c>
      <c r="V226" s="1">
        <v>6900</v>
      </c>
      <c r="W226" s="1">
        <v>210666</v>
      </c>
      <c r="X226" s="1">
        <v>1942</v>
      </c>
      <c r="Y226" s="1">
        <v>744020</v>
      </c>
      <c r="Z226" s="1">
        <v>8411</v>
      </c>
      <c r="AA226" s="1">
        <v>284874</v>
      </c>
      <c r="AB226" s="1">
        <v>1600</v>
      </c>
      <c r="AC226" s="1">
        <v>324294</v>
      </c>
      <c r="AD226" s="1">
        <v>-12503</v>
      </c>
      <c r="AE226" s="1">
        <f t="shared" si="15"/>
        <v>17889085</v>
      </c>
      <c r="AF226" s="9">
        <f t="shared" si="16"/>
        <v>7.3988747887329065E-2</v>
      </c>
      <c r="AG226" s="9">
        <f t="shared" si="17"/>
        <v>2.027437401074454E-3</v>
      </c>
      <c r="AH226" s="9">
        <f t="shared" si="18"/>
        <v>1.2577669567783931E-2</v>
      </c>
      <c r="AI226" s="9">
        <f t="shared" si="19"/>
        <v>2.6182557688109818E-2</v>
      </c>
      <c r="AJ226" s="1" t="str">
        <f>IF(VLOOKUP(A226,Hospital!A:C,3,FALSE)="H","Hospital","Freestanding")</f>
        <v>Freestanding</v>
      </c>
      <c r="AK226" s="1">
        <v>2024</v>
      </c>
    </row>
    <row r="227" spans="1:37">
      <c r="A227" s="1">
        <v>62016</v>
      </c>
      <c r="B227" s="1" t="s">
        <v>392</v>
      </c>
      <c r="C227" s="1">
        <v>345276</v>
      </c>
      <c r="D227" s="1">
        <v>9034</v>
      </c>
      <c r="E227" s="1">
        <v>96677</v>
      </c>
      <c r="F227" s="1">
        <v>70394</v>
      </c>
      <c r="G227" s="1">
        <v>341122</v>
      </c>
      <c r="H227" s="1">
        <v>883755</v>
      </c>
      <c r="I227" s="1">
        <v>419579</v>
      </c>
      <c r="J227" s="1">
        <v>1115339</v>
      </c>
      <c r="K227" s="1">
        <v>54009</v>
      </c>
      <c r="L227" s="1">
        <v>196943</v>
      </c>
      <c r="M227" s="1">
        <v>0</v>
      </c>
      <c r="N227" s="1">
        <v>170711</v>
      </c>
      <c r="O227" s="1">
        <v>129216</v>
      </c>
      <c r="P227" s="1">
        <v>43795</v>
      </c>
      <c r="Q227" s="1">
        <v>48250</v>
      </c>
      <c r="R227" s="1">
        <v>87728</v>
      </c>
      <c r="S227" s="1">
        <v>0</v>
      </c>
      <c r="T227" s="1">
        <v>0</v>
      </c>
      <c r="U227" s="1">
        <v>430706</v>
      </c>
      <c r="V227" s="1">
        <v>-3646</v>
      </c>
      <c r="W227" s="1">
        <v>29632</v>
      </c>
      <c r="X227" s="1">
        <v>7706</v>
      </c>
      <c r="Y227" s="1">
        <v>195220</v>
      </c>
      <c r="Z227" s="1">
        <v>8122</v>
      </c>
      <c r="AA227" s="1">
        <v>163346</v>
      </c>
      <c r="AB227" s="1">
        <v>3344</v>
      </c>
      <c r="AC227" s="1">
        <v>432970</v>
      </c>
      <c r="AD227" s="1">
        <v>1627</v>
      </c>
      <c r="AE227" s="1">
        <f t="shared" si="15"/>
        <v>4759474</v>
      </c>
      <c r="AF227" s="9">
        <f t="shared" si="16"/>
        <v>7.2544991316267307E-2</v>
      </c>
      <c r="AG227" s="9">
        <f t="shared" si="17"/>
        <v>1.8981089086735215E-3</v>
      </c>
      <c r="AH227" s="9">
        <f t="shared" si="18"/>
        <v>2.0312538738524469E-2</v>
      </c>
      <c r="AI227" s="9">
        <f t="shared" si="19"/>
        <v>1.4790289851357524E-2</v>
      </c>
      <c r="AJ227" s="1" t="str">
        <f>IF(VLOOKUP(A227,Hospital!A:C,3,FALSE)="H","Hospital","Freestanding")</f>
        <v>Freestanding</v>
      </c>
      <c r="AK227" s="1">
        <v>2024</v>
      </c>
    </row>
    <row r="228" spans="1:37">
      <c r="A228" s="1">
        <v>62017</v>
      </c>
      <c r="B228" s="1" t="s">
        <v>393</v>
      </c>
      <c r="C228" s="1">
        <v>362873</v>
      </c>
      <c r="D228" s="1">
        <v>37646</v>
      </c>
      <c r="E228" s="1">
        <v>42160</v>
      </c>
      <c r="F228" s="1">
        <v>10219</v>
      </c>
      <c r="G228" s="1">
        <v>553456</v>
      </c>
      <c r="H228" s="1">
        <v>973823</v>
      </c>
      <c r="I228" s="1">
        <v>466656</v>
      </c>
      <c r="J228" s="1">
        <v>1397424</v>
      </c>
      <c r="K228" s="1">
        <v>33478</v>
      </c>
      <c r="L228" s="1">
        <v>151485</v>
      </c>
      <c r="M228" s="1">
        <v>0</v>
      </c>
      <c r="N228" s="1">
        <v>255105</v>
      </c>
      <c r="O228" s="1">
        <v>120983</v>
      </c>
      <c r="P228" s="1">
        <v>0</v>
      </c>
      <c r="Q228" s="1">
        <v>0</v>
      </c>
      <c r="R228" s="1">
        <v>9183</v>
      </c>
      <c r="S228" s="1">
        <v>0</v>
      </c>
      <c r="T228" s="1">
        <v>0</v>
      </c>
      <c r="U228" s="1">
        <v>402062</v>
      </c>
      <c r="V228" s="1">
        <v>10988</v>
      </c>
      <c r="W228" s="1">
        <v>0</v>
      </c>
      <c r="X228" s="1">
        <v>0</v>
      </c>
      <c r="Y228" s="1">
        <v>0</v>
      </c>
      <c r="Z228" s="1">
        <v>0</v>
      </c>
      <c r="AA228" s="1">
        <v>164319</v>
      </c>
      <c r="AB228" s="1">
        <v>-541</v>
      </c>
      <c r="AC228" s="1">
        <v>348202</v>
      </c>
      <c r="AD228" s="1">
        <v>-12754</v>
      </c>
      <c r="AE228" s="1">
        <f t="shared" si="15"/>
        <v>4873869</v>
      </c>
      <c r="AF228" s="9">
        <f t="shared" si="16"/>
        <v>7.445276021985818E-2</v>
      </c>
      <c r="AG228" s="9">
        <f t="shared" si="17"/>
        <v>7.7240483894827705E-3</v>
      </c>
      <c r="AH228" s="9">
        <f t="shared" si="18"/>
        <v>8.6502119773838818E-3</v>
      </c>
      <c r="AI228" s="9">
        <f t="shared" si="19"/>
        <v>2.0966915606471983E-3</v>
      </c>
      <c r="AJ228" s="1" t="str">
        <f>IF(VLOOKUP(A228,Hospital!A:C,3,FALSE)="H","Hospital","Freestanding")</f>
        <v>Freestanding</v>
      </c>
      <c r="AK228" s="1">
        <v>2024</v>
      </c>
    </row>
    <row r="229" spans="1:37">
      <c r="A229" s="1">
        <v>62019</v>
      </c>
      <c r="B229" s="1" t="s">
        <v>394</v>
      </c>
      <c r="C229" s="1">
        <v>194755</v>
      </c>
      <c r="D229" s="1">
        <v>22905</v>
      </c>
      <c r="E229" s="1">
        <v>14162</v>
      </c>
      <c r="F229" s="1">
        <v>0</v>
      </c>
      <c r="G229" s="1">
        <v>198804</v>
      </c>
      <c r="H229" s="1">
        <v>420265</v>
      </c>
      <c r="I229" s="1">
        <v>313115</v>
      </c>
      <c r="J229" s="1">
        <v>699147</v>
      </c>
      <c r="K229" s="1">
        <v>7078</v>
      </c>
      <c r="L229" s="1">
        <v>70678</v>
      </c>
      <c r="M229" s="1">
        <v>0</v>
      </c>
      <c r="N229" s="1">
        <v>109252</v>
      </c>
      <c r="O229" s="1">
        <v>52065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309216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66827</v>
      </c>
      <c r="AB229" s="1">
        <v>0</v>
      </c>
      <c r="AC229" s="1">
        <v>278765</v>
      </c>
      <c r="AD229" s="1">
        <v>0</v>
      </c>
      <c r="AE229" s="1">
        <f t="shared" si="15"/>
        <v>2525212</v>
      </c>
      <c r="AF229" s="9">
        <f t="shared" si="16"/>
        <v>7.7124217689445482E-2</v>
      </c>
      <c r="AG229" s="9">
        <f t="shared" si="17"/>
        <v>9.0705255637942486E-3</v>
      </c>
      <c r="AH229" s="9">
        <f t="shared" si="18"/>
        <v>5.6082420010676332E-3</v>
      </c>
      <c r="AI229" s="9">
        <f t="shared" si="19"/>
        <v>0</v>
      </c>
      <c r="AJ229" s="1" t="str">
        <f>IF(VLOOKUP(A229,Hospital!A:C,3,FALSE)="H","Hospital","Freestanding")</f>
        <v>Freestanding</v>
      </c>
      <c r="AK229" s="1">
        <v>2024</v>
      </c>
    </row>
    <row r="230" spans="1:37">
      <c r="A230" s="1">
        <v>62022</v>
      </c>
      <c r="B230" s="1" t="s">
        <v>395</v>
      </c>
      <c r="C230" s="1">
        <v>550908</v>
      </c>
      <c r="D230" s="1">
        <v>12321</v>
      </c>
      <c r="E230" s="1">
        <v>44329</v>
      </c>
      <c r="F230" s="1">
        <v>173155</v>
      </c>
      <c r="G230" s="1">
        <v>487851</v>
      </c>
      <c r="H230" s="1">
        <v>2063046</v>
      </c>
      <c r="I230" s="1">
        <v>648468</v>
      </c>
      <c r="J230" s="1">
        <v>2190259</v>
      </c>
      <c r="K230" s="1">
        <v>129271</v>
      </c>
      <c r="L230" s="1">
        <v>280644</v>
      </c>
      <c r="M230" s="1">
        <v>0</v>
      </c>
      <c r="N230" s="1">
        <v>166047</v>
      </c>
      <c r="O230" s="1">
        <v>255469</v>
      </c>
      <c r="P230" s="1">
        <v>52860</v>
      </c>
      <c r="Q230" s="1">
        <v>104256</v>
      </c>
      <c r="R230" s="1">
        <v>79992</v>
      </c>
      <c r="S230" s="1">
        <v>0</v>
      </c>
      <c r="T230" s="1">
        <v>0</v>
      </c>
      <c r="U230" s="1">
        <v>0</v>
      </c>
      <c r="V230" s="1">
        <v>0</v>
      </c>
      <c r="W230" s="1">
        <v>108066</v>
      </c>
      <c r="X230" s="1">
        <v>1941</v>
      </c>
      <c r="Y230" s="1">
        <v>338173</v>
      </c>
      <c r="Z230" s="1">
        <v>7133</v>
      </c>
      <c r="AA230" s="1">
        <v>99609</v>
      </c>
      <c r="AB230" s="1">
        <v>1328</v>
      </c>
      <c r="AC230" s="1">
        <v>466128</v>
      </c>
      <c r="AD230" s="1">
        <v>5156</v>
      </c>
      <c r="AE230" s="1">
        <f t="shared" si="15"/>
        <v>7485697</v>
      </c>
      <c r="AF230" s="9">
        <f t="shared" si="16"/>
        <v>7.3594750094747349E-2</v>
      </c>
      <c r="AG230" s="9">
        <f t="shared" si="17"/>
        <v>1.6459389152406248E-3</v>
      </c>
      <c r="AH230" s="9">
        <f t="shared" si="18"/>
        <v>5.9218266515462751E-3</v>
      </c>
      <c r="AI230" s="9">
        <f t="shared" si="19"/>
        <v>2.3131446543989156E-2</v>
      </c>
      <c r="AJ230" s="1" t="str">
        <f>IF(VLOOKUP(A230,Hospital!A:C,3,FALSE)="H","Hospital","Freestanding")</f>
        <v>Freestanding</v>
      </c>
      <c r="AK230" s="1">
        <v>2024</v>
      </c>
    </row>
    <row r="231" spans="1:37">
      <c r="A231" s="1">
        <v>62026</v>
      </c>
      <c r="B231" s="1" t="s">
        <v>396</v>
      </c>
      <c r="C231" s="1">
        <v>542024</v>
      </c>
      <c r="D231" s="1">
        <v>13807</v>
      </c>
      <c r="E231" s="1">
        <v>135845</v>
      </c>
      <c r="F231" s="1">
        <v>82059</v>
      </c>
      <c r="G231" s="1">
        <v>605770</v>
      </c>
      <c r="H231" s="1">
        <v>1487177</v>
      </c>
      <c r="I231" s="1">
        <v>1135060</v>
      </c>
      <c r="J231" s="1">
        <v>1882138</v>
      </c>
      <c r="K231" s="1">
        <v>40378</v>
      </c>
      <c r="L231" s="1">
        <v>182718</v>
      </c>
      <c r="M231" s="1">
        <v>0</v>
      </c>
      <c r="N231" s="1">
        <v>223519</v>
      </c>
      <c r="O231" s="1">
        <v>236663</v>
      </c>
      <c r="P231" s="1">
        <v>74326</v>
      </c>
      <c r="Q231" s="1">
        <v>92128</v>
      </c>
      <c r="R231" s="1">
        <v>14914</v>
      </c>
      <c r="S231" s="1">
        <v>0</v>
      </c>
      <c r="T231" s="1">
        <v>0</v>
      </c>
      <c r="U231" s="1">
        <v>682926</v>
      </c>
      <c r="V231" s="1">
        <v>-5303</v>
      </c>
      <c r="W231" s="1">
        <v>103146</v>
      </c>
      <c r="X231" s="1">
        <v>1326</v>
      </c>
      <c r="Y231" s="1">
        <v>308965</v>
      </c>
      <c r="Z231" s="1">
        <v>221</v>
      </c>
      <c r="AA231" s="1">
        <v>212134</v>
      </c>
      <c r="AB231" s="1">
        <v>17605</v>
      </c>
      <c r="AC231" s="1">
        <v>412268</v>
      </c>
      <c r="AD231" s="1">
        <v>8021</v>
      </c>
      <c r="AE231" s="1">
        <f t="shared" si="15"/>
        <v>7716100</v>
      </c>
      <c r="AF231" s="9">
        <f t="shared" si="16"/>
        <v>7.0245849587226711E-2</v>
      </c>
      <c r="AG231" s="9">
        <f t="shared" si="17"/>
        <v>1.7893754616969712E-3</v>
      </c>
      <c r="AH231" s="9">
        <f t="shared" si="18"/>
        <v>1.7605396508598905E-2</v>
      </c>
      <c r="AI231" s="9">
        <f t="shared" si="19"/>
        <v>1.0634776635865269E-2</v>
      </c>
      <c r="AJ231" s="1" t="str">
        <f>IF(VLOOKUP(A231,Hospital!A:C,3,FALSE)="H","Hospital","Freestanding")</f>
        <v>Freestanding</v>
      </c>
      <c r="AK231" s="1">
        <v>2024</v>
      </c>
    </row>
    <row r="232" spans="1:37">
      <c r="A232" s="1">
        <v>62027</v>
      </c>
      <c r="B232" s="1" t="s">
        <v>397</v>
      </c>
      <c r="C232" s="1">
        <v>591130</v>
      </c>
      <c r="D232" s="1">
        <v>27905</v>
      </c>
      <c r="E232" s="1">
        <v>76008</v>
      </c>
      <c r="F232" s="1">
        <v>60502</v>
      </c>
      <c r="G232" s="1">
        <v>632397</v>
      </c>
      <c r="H232" s="1">
        <v>728494</v>
      </c>
      <c r="I232" s="1">
        <v>964943</v>
      </c>
      <c r="J232" s="1">
        <v>3046470</v>
      </c>
      <c r="K232" s="1">
        <v>502610</v>
      </c>
      <c r="L232" s="1">
        <v>135419</v>
      </c>
      <c r="M232" s="1">
        <v>0</v>
      </c>
      <c r="N232" s="1">
        <v>169080</v>
      </c>
      <c r="O232" s="1">
        <v>202635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735675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141698</v>
      </c>
      <c r="AB232" s="1">
        <v>0</v>
      </c>
      <c r="AC232" s="1">
        <v>482838</v>
      </c>
      <c r="AD232" s="1">
        <v>0</v>
      </c>
      <c r="AE232" s="1">
        <f t="shared" si="15"/>
        <v>7742259</v>
      </c>
      <c r="AF232" s="9">
        <f t="shared" si="16"/>
        <v>7.6351101145027564E-2</v>
      </c>
      <c r="AG232" s="9">
        <f t="shared" si="17"/>
        <v>3.6042452209361633E-3</v>
      </c>
      <c r="AH232" s="9">
        <f t="shared" si="18"/>
        <v>9.8172897600041532E-3</v>
      </c>
      <c r="AI232" s="9">
        <f t="shared" si="19"/>
        <v>7.8145151176161887E-3</v>
      </c>
      <c r="AJ232" s="1" t="str">
        <f>IF(VLOOKUP(A232,Hospital!A:C,3,FALSE)="H","Hospital","Freestanding")</f>
        <v>Freestanding</v>
      </c>
      <c r="AK232" s="1">
        <v>2024</v>
      </c>
    </row>
    <row r="233" spans="1:37">
      <c r="A233" s="1">
        <v>62028</v>
      </c>
      <c r="B233" s="1" t="s">
        <v>398</v>
      </c>
      <c r="C233" s="1">
        <v>351793</v>
      </c>
      <c r="D233" s="1">
        <v>41720</v>
      </c>
      <c r="E233" s="1">
        <v>32312</v>
      </c>
      <c r="F233" s="1">
        <v>0</v>
      </c>
      <c r="G233" s="1">
        <v>428877</v>
      </c>
      <c r="H233" s="1">
        <v>758502</v>
      </c>
      <c r="I233" s="1">
        <v>852130</v>
      </c>
      <c r="J233" s="1">
        <v>1240563</v>
      </c>
      <c r="K233" s="1">
        <v>23298</v>
      </c>
      <c r="L233" s="1">
        <v>117718</v>
      </c>
      <c r="M233" s="1">
        <v>0</v>
      </c>
      <c r="N233" s="1">
        <v>158369</v>
      </c>
      <c r="O233" s="1">
        <v>128583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474436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76319</v>
      </c>
      <c r="AB233" s="1">
        <v>0</v>
      </c>
      <c r="AC233" s="1">
        <v>343374</v>
      </c>
      <c r="AD233" s="1">
        <v>0</v>
      </c>
      <c r="AE233" s="1">
        <f t="shared" si="15"/>
        <v>4602169</v>
      </c>
      <c r="AF233" s="9">
        <f t="shared" si="16"/>
        <v>7.6440695680667095E-2</v>
      </c>
      <c r="AG233" s="9">
        <f t="shared" si="17"/>
        <v>9.0652907357378666E-3</v>
      </c>
      <c r="AH233" s="9">
        <f t="shared" si="18"/>
        <v>7.0210372543902666E-3</v>
      </c>
      <c r="AI233" s="9">
        <f t="shared" si="19"/>
        <v>0</v>
      </c>
      <c r="AJ233" s="1" t="str">
        <f>IF(VLOOKUP(A233,Hospital!A:C,3,FALSE)="H","Hospital","Freestanding")</f>
        <v>Freestanding</v>
      </c>
      <c r="AK233" s="1">
        <v>2024</v>
      </c>
    </row>
    <row r="234" spans="1:37">
      <c r="A234" s="1">
        <v>62030</v>
      </c>
      <c r="B234" s="1" t="s">
        <v>399</v>
      </c>
      <c r="C234" s="1">
        <v>411903</v>
      </c>
      <c r="D234" s="1">
        <v>3580</v>
      </c>
      <c r="E234" s="1">
        <v>15512</v>
      </c>
      <c r="F234" s="1">
        <v>73325</v>
      </c>
      <c r="G234" s="1">
        <v>206838</v>
      </c>
      <c r="H234" s="1">
        <v>859558</v>
      </c>
      <c r="I234" s="1">
        <v>1182015</v>
      </c>
      <c r="J234" s="1">
        <v>1440522</v>
      </c>
      <c r="K234" s="1">
        <v>136628</v>
      </c>
      <c r="L234" s="1">
        <v>166443</v>
      </c>
      <c r="M234" s="1">
        <v>0</v>
      </c>
      <c r="N234" s="1">
        <v>193408</v>
      </c>
      <c r="O234" s="1">
        <v>173319</v>
      </c>
      <c r="P234" s="1">
        <v>32414</v>
      </c>
      <c r="Q234" s="1">
        <v>74272</v>
      </c>
      <c r="R234" s="1">
        <v>0</v>
      </c>
      <c r="S234" s="1">
        <v>0</v>
      </c>
      <c r="T234" s="1">
        <v>0</v>
      </c>
      <c r="U234" s="1">
        <v>447372</v>
      </c>
      <c r="V234" s="1">
        <v>0</v>
      </c>
      <c r="W234" s="1">
        <v>78616</v>
      </c>
      <c r="X234" s="1">
        <v>0</v>
      </c>
      <c r="Y234" s="1">
        <v>229537</v>
      </c>
      <c r="Z234" s="1">
        <v>0</v>
      </c>
      <c r="AA234" s="1">
        <v>103348</v>
      </c>
      <c r="AB234" s="1">
        <v>0</v>
      </c>
      <c r="AC234" s="1">
        <v>251779</v>
      </c>
      <c r="AD234" s="1">
        <v>0</v>
      </c>
      <c r="AE234" s="1">
        <f t="shared" si="15"/>
        <v>5576069</v>
      </c>
      <c r="AF234" s="9">
        <f t="shared" si="16"/>
        <v>7.3869781740505722E-2</v>
      </c>
      <c r="AG234" s="9">
        <f t="shared" si="17"/>
        <v>6.4202935795808842E-4</v>
      </c>
      <c r="AH234" s="9">
        <f t="shared" si="18"/>
        <v>2.7818881007390692E-3</v>
      </c>
      <c r="AI234" s="9">
        <f t="shared" si="19"/>
        <v>1.3149944880524254E-2</v>
      </c>
      <c r="AJ234" s="1" t="str">
        <f>IF(VLOOKUP(A234,Hospital!A:C,3,FALSE)="H","Hospital","Freestanding")</f>
        <v>Freestanding</v>
      </c>
      <c r="AK234" s="1">
        <v>2024</v>
      </c>
    </row>
    <row r="235" spans="1:37">
      <c r="A235" s="1">
        <v>62031</v>
      </c>
      <c r="B235" s="1" t="s">
        <v>400</v>
      </c>
      <c r="C235" s="1">
        <v>623472</v>
      </c>
      <c r="D235" s="1">
        <v>2025</v>
      </c>
      <c r="E235" s="1">
        <v>143161</v>
      </c>
      <c r="F235" s="1">
        <v>118783</v>
      </c>
      <c r="G235" s="1">
        <v>504627</v>
      </c>
      <c r="H235" s="1">
        <v>1903838</v>
      </c>
      <c r="I235" s="1">
        <v>1917598</v>
      </c>
      <c r="J235" s="1">
        <v>2673569</v>
      </c>
      <c r="K235" s="1">
        <v>314279</v>
      </c>
      <c r="L235" s="1">
        <v>209587</v>
      </c>
      <c r="M235" s="1">
        <v>0</v>
      </c>
      <c r="N235" s="1">
        <v>301742</v>
      </c>
      <c r="O235" s="1">
        <v>212102</v>
      </c>
      <c r="P235" s="1">
        <v>32946</v>
      </c>
      <c r="Q235" s="1">
        <v>152854</v>
      </c>
      <c r="R235" s="1">
        <v>20797</v>
      </c>
      <c r="S235" s="1">
        <v>0</v>
      </c>
      <c r="T235" s="1">
        <v>0</v>
      </c>
      <c r="U235" s="1">
        <v>674908</v>
      </c>
      <c r="V235" s="1">
        <v>-1726</v>
      </c>
      <c r="W235" s="1">
        <v>0</v>
      </c>
      <c r="X235" s="1">
        <v>0</v>
      </c>
      <c r="Y235" s="1">
        <v>0</v>
      </c>
      <c r="Z235" s="1">
        <v>0</v>
      </c>
      <c r="AA235" s="1">
        <v>180509</v>
      </c>
      <c r="AB235" s="1">
        <v>3220</v>
      </c>
      <c r="AC235" s="1">
        <v>160791</v>
      </c>
      <c r="AD235" s="1">
        <v>-2700</v>
      </c>
      <c r="AE235" s="1">
        <f t="shared" si="15"/>
        <v>9258941</v>
      </c>
      <c r="AF235" s="9">
        <f t="shared" si="16"/>
        <v>6.7337290517349657E-2</v>
      </c>
      <c r="AG235" s="9">
        <f t="shared" si="17"/>
        <v>2.1870751741478859E-4</v>
      </c>
      <c r="AH235" s="9">
        <f t="shared" si="18"/>
        <v>1.5461919457095579E-2</v>
      </c>
      <c r="AI235" s="9">
        <f t="shared" si="19"/>
        <v>1.2829004958558436E-2</v>
      </c>
      <c r="AJ235" s="1" t="str">
        <f>IF(VLOOKUP(A235,Hospital!A:C,3,FALSE)="H","Hospital","Freestanding")</f>
        <v>Freestanding</v>
      </c>
      <c r="AK235" s="1">
        <v>2024</v>
      </c>
    </row>
    <row r="236" spans="1:37">
      <c r="A236" s="1">
        <v>62032</v>
      </c>
      <c r="B236" s="1" t="s">
        <v>401</v>
      </c>
      <c r="C236" s="1">
        <v>385624</v>
      </c>
      <c r="D236" s="1">
        <v>11420</v>
      </c>
      <c r="E236" s="1">
        <v>90996</v>
      </c>
      <c r="F236" s="1">
        <v>62822</v>
      </c>
      <c r="G236" s="1">
        <v>268305</v>
      </c>
      <c r="H236" s="1">
        <v>868677</v>
      </c>
      <c r="I236" s="1">
        <v>728185</v>
      </c>
      <c r="J236" s="1">
        <v>1271760</v>
      </c>
      <c r="K236" s="1">
        <v>212551</v>
      </c>
      <c r="L236" s="1">
        <v>177187</v>
      </c>
      <c r="M236" s="1">
        <v>0</v>
      </c>
      <c r="N236" s="1">
        <v>168877</v>
      </c>
      <c r="O236" s="1">
        <v>236461</v>
      </c>
      <c r="P236" s="1">
        <v>31069</v>
      </c>
      <c r="Q236" s="1">
        <v>48729</v>
      </c>
      <c r="R236" s="1">
        <v>30518</v>
      </c>
      <c r="S236" s="1">
        <v>0</v>
      </c>
      <c r="T236" s="1">
        <v>0</v>
      </c>
      <c r="U236" s="1">
        <v>474082</v>
      </c>
      <c r="V236" s="1">
        <v>26</v>
      </c>
      <c r="W236" s="1">
        <v>55475</v>
      </c>
      <c r="X236" s="1">
        <v>4088</v>
      </c>
      <c r="Y236" s="1">
        <v>208360</v>
      </c>
      <c r="Z236" s="1">
        <v>-825</v>
      </c>
      <c r="AA236" s="1">
        <v>175507</v>
      </c>
      <c r="AB236" s="1">
        <v>10723</v>
      </c>
      <c r="AC236" s="1">
        <v>414073</v>
      </c>
      <c r="AD236" s="1">
        <v>-4012</v>
      </c>
      <c r="AE236" s="1">
        <f t="shared" si="15"/>
        <v>5379816</v>
      </c>
      <c r="AF236" s="9">
        <f t="shared" si="16"/>
        <v>7.1679774921670186E-2</v>
      </c>
      <c r="AG236" s="9">
        <f t="shared" si="17"/>
        <v>2.1227491795258427E-3</v>
      </c>
      <c r="AH236" s="9">
        <f t="shared" si="18"/>
        <v>1.6914333129608893E-2</v>
      </c>
      <c r="AI236" s="9">
        <f t="shared" si="19"/>
        <v>1.1677351046950304E-2</v>
      </c>
      <c r="AJ236" s="1" t="str">
        <f>IF(VLOOKUP(A236,Hospital!A:C,3,FALSE)="H","Hospital","Freestanding")</f>
        <v>Freestanding</v>
      </c>
      <c r="AK236" s="1">
        <v>2024</v>
      </c>
    </row>
    <row r="237" spans="1:37">
      <c r="A237" s="1">
        <v>62034</v>
      </c>
      <c r="B237" s="1" t="s">
        <v>402</v>
      </c>
      <c r="C237" s="1">
        <v>224838</v>
      </c>
      <c r="D237" s="1">
        <v>21476</v>
      </c>
      <c r="E237" s="1">
        <v>74663</v>
      </c>
      <c r="F237" s="1">
        <v>0</v>
      </c>
      <c r="G237" s="1">
        <v>187770</v>
      </c>
      <c r="H237" s="1">
        <v>296497</v>
      </c>
      <c r="I237" s="1">
        <v>459855</v>
      </c>
      <c r="J237" s="1">
        <v>1086518</v>
      </c>
      <c r="K237" s="1">
        <v>33390</v>
      </c>
      <c r="L237" s="1">
        <v>128747</v>
      </c>
      <c r="M237" s="1">
        <v>0</v>
      </c>
      <c r="N237" s="1">
        <v>69982</v>
      </c>
      <c r="O237" s="1">
        <v>63050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282354</v>
      </c>
      <c r="V237" s="1">
        <v>0</v>
      </c>
      <c r="W237" s="1">
        <v>61326</v>
      </c>
      <c r="X237" s="1">
        <v>0</v>
      </c>
      <c r="Y237" s="1">
        <v>150587</v>
      </c>
      <c r="Z237" s="1">
        <v>0</v>
      </c>
      <c r="AA237" s="1">
        <v>44797</v>
      </c>
      <c r="AB237" s="1">
        <v>0</v>
      </c>
      <c r="AC237" s="1">
        <v>125143</v>
      </c>
      <c r="AD237" s="1">
        <v>0</v>
      </c>
      <c r="AE237" s="1">
        <f t="shared" si="15"/>
        <v>2990016</v>
      </c>
      <c r="AF237" s="9">
        <f t="shared" si="16"/>
        <v>7.5196253130418028E-2</v>
      </c>
      <c r="AG237" s="9">
        <f t="shared" si="17"/>
        <v>7.1825702604935895E-3</v>
      </c>
      <c r="AH237" s="9">
        <f t="shared" si="18"/>
        <v>2.4970769387187227E-2</v>
      </c>
      <c r="AI237" s="9">
        <f t="shared" si="19"/>
        <v>0</v>
      </c>
      <c r="AJ237" s="1" t="str">
        <f>IF(VLOOKUP(A237,Hospital!A:C,3,FALSE)="H","Hospital","Freestanding")</f>
        <v>Freestanding</v>
      </c>
      <c r="AK237" s="1">
        <v>2024</v>
      </c>
    </row>
    <row r="238" spans="1:37">
      <c r="A238" s="1">
        <v>62037</v>
      </c>
      <c r="B238" s="1" t="s">
        <v>403</v>
      </c>
      <c r="C238" s="1">
        <v>225847</v>
      </c>
      <c r="D238" s="1">
        <v>14266</v>
      </c>
      <c r="E238" s="1">
        <v>38580</v>
      </c>
      <c r="F238" s="1">
        <v>111768</v>
      </c>
      <c r="G238" s="1">
        <v>336606</v>
      </c>
      <c r="H238" s="1">
        <v>819886</v>
      </c>
      <c r="I238" s="1">
        <v>297533</v>
      </c>
      <c r="J238" s="1">
        <v>1307742</v>
      </c>
      <c r="K238" s="1">
        <v>191250</v>
      </c>
      <c r="L238" s="1">
        <v>163805</v>
      </c>
      <c r="M238" s="1">
        <v>0</v>
      </c>
      <c r="N238" s="1">
        <v>179137</v>
      </c>
      <c r="O238" s="1">
        <v>146713</v>
      </c>
      <c r="P238" s="1">
        <v>37177</v>
      </c>
      <c r="Q238" s="1">
        <v>0</v>
      </c>
      <c r="R238" s="1">
        <v>38748</v>
      </c>
      <c r="S238" s="1">
        <v>0</v>
      </c>
      <c r="T238" s="1">
        <v>0</v>
      </c>
      <c r="U238" s="1">
        <v>587338</v>
      </c>
      <c r="V238" s="1">
        <v>-798</v>
      </c>
      <c r="W238" s="1">
        <v>65659</v>
      </c>
      <c r="X238" s="1">
        <v>0</v>
      </c>
      <c r="Y238" s="1">
        <v>39166</v>
      </c>
      <c r="Z238" s="1">
        <v>-42</v>
      </c>
      <c r="AA238" s="1">
        <v>32798</v>
      </c>
      <c r="AB238" s="1">
        <v>124</v>
      </c>
      <c r="AC238" s="1">
        <v>228292</v>
      </c>
      <c r="AD238" s="1">
        <v>2528</v>
      </c>
      <c r="AE238" s="1">
        <f t="shared" si="15"/>
        <v>4473662</v>
      </c>
      <c r="AF238" s="9">
        <f t="shared" si="16"/>
        <v>5.0483697695534444E-2</v>
      </c>
      <c r="AG238" s="9">
        <f t="shared" si="17"/>
        <v>3.1888864201184623E-3</v>
      </c>
      <c r="AH238" s="9">
        <f t="shared" si="18"/>
        <v>8.6238075205502789E-3</v>
      </c>
      <c r="AI238" s="9">
        <f t="shared" si="19"/>
        <v>2.4983559330141614E-2</v>
      </c>
      <c r="AJ238" s="1" t="str">
        <f>IF(VLOOKUP(A238,Hospital!A:C,3,FALSE)="H","Hospital","Freestanding")</f>
        <v>Freestanding</v>
      </c>
      <c r="AK238" s="1">
        <v>2024</v>
      </c>
    </row>
    <row r="239" spans="1:37">
      <c r="A239" s="1">
        <v>62040</v>
      </c>
      <c r="B239" s="1" t="s">
        <v>404</v>
      </c>
      <c r="C239" s="1">
        <v>150135</v>
      </c>
      <c r="D239" s="1">
        <v>6744</v>
      </c>
      <c r="E239" s="1">
        <v>143860</v>
      </c>
      <c r="F239" s="1">
        <v>50598</v>
      </c>
      <c r="G239" s="1">
        <v>158598</v>
      </c>
      <c r="H239" s="1">
        <v>346106</v>
      </c>
      <c r="I239" s="1">
        <v>355278</v>
      </c>
      <c r="J239" s="1">
        <v>871927</v>
      </c>
      <c r="K239" s="1">
        <v>291644</v>
      </c>
      <c r="L239" s="1">
        <v>156932</v>
      </c>
      <c r="M239" s="1">
        <v>0</v>
      </c>
      <c r="N239" s="1">
        <v>76697</v>
      </c>
      <c r="O239" s="1">
        <v>126114</v>
      </c>
      <c r="P239" s="1">
        <v>10830</v>
      </c>
      <c r="Q239" s="1">
        <v>0</v>
      </c>
      <c r="R239" s="1">
        <v>17635</v>
      </c>
      <c r="S239" s="1">
        <v>0</v>
      </c>
      <c r="T239" s="1">
        <v>0</v>
      </c>
      <c r="U239" s="1">
        <v>331528</v>
      </c>
      <c r="V239" s="1">
        <v>3419</v>
      </c>
      <c r="W239" s="1">
        <v>64898</v>
      </c>
      <c r="X239" s="1">
        <v>0</v>
      </c>
      <c r="Y239" s="1">
        <v>21126</v>
      </c>
      <c r="Z239" s="1">
        <v>440</v>
      </c>
      <c r="AA239" s="1">
        <v>19848</v>
      </c>
      <c r="AB239" s="1">
        <v>563</v>
      </c>
      <c r="AC239" s="1">
        <v>141232</v>
      </c>
      <c r="AD239" s="1">
        <v>5395</v>
      </c>
      <c r="AE239" s="1">
        <f t="shared" si="15"/>
        <v>3000210</v>
      </c>
      <c r="AF239" s="9">
        <f t="shared" si="16"/>
        <v>5.0041497095203336E-2</v>
      </c>
      <c r="AG239" s="9">
        <f t="shared" si="17"/>
        <v>2.2478426510144289E-3</v>
      </c>
      <c r="AH239" s="9">
        <f t="shared" si="18"/>
        <v>4.7949976834954888E-2</v>
      </c>
      <c r="AI239" s="9">
        <f t="shared" si="19"/>
        <v>1.6864819462637615E-2</v>
      </c>
      <c r="AJ239" s="1" t="str">
        <f>IF(VLOOKUP(A239,Hospital!A:C,3,FALSE)="H","Hospital","Freestanding")</f>
        <v>Freestanding</v>
      </c>
      <c r="AK239" s="1">
        <v>2024</v>
      </c>
    </row>
    <row r="240" spans="1:37">
      <c r="A240" s="1">
        <v>62041</v>
      </c>
      <c r="B240" s="1" t="s">
        <v>405</v>
      </c>
      <c r="C240" s="1">
        <v>337654</v>
      </c>
      <c r="D240" s="1">
        <v>45045</v>
      </c>
      <c r="E240" s="1">
        <v>108733</v>
      </c>
      <c r="F240" s="1">
        <v>42114</v>
      </c>
      <c r="G240" s="1">
        <v>175316</v>
      </c>
      <c r="H240" s="1">
        <v>546559</v>
      </c>
      <c r="I240" s="1">
        <v>676461</v>
      </c>
      <c r="J240" s="1">
        <v>2128596</v>
      </c>
      <c r="K240" s="1">
        <v>5013</v>
      </c>
      <c r="L240" s="1">
        <v>40320</v>
      </c>
      <c r="M240" s="1">
        <v>0</v>
      </c>
      <c r="N240" s="1">
        <v>47154</v>
      </c>
      <c r="O240" s="1">
        <v>80826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233353</v>
      </c>
      <c r="V240" s="1">
        <v>0</v>
      </c>
      <c r="W240" s="1">
        <v>45463</v>
      </c>
      <c r="X240" s="1">
        <v>0</v>
      </c>
      <c r="Y240" s="1">
        <v>190001</v>
      </c>
      <c r="Z240" s="1">
        <v>0</v>
      </c>
      <c r="AA240" s="1">
        <v>57330</v>
      </c>
      <c r="AB240" s="1">
        <v>0</v>
      </c>
      <c r="AC240" s="1">
        <v>283277</v>
      </c>
      <c r="AD240" s="1">
        <v>0</v>
      </c>
      <c r="AE240" s="1">
        <f t="shared" si="15"/>
        <v>4509669</v>
      </c>
      <c r="AF240" s="9">
        <f t="shared" si="16"/>
        <v>7.4873344362967664E-2</v>
      </c>
      <c r="AG240" s="9">
        <f t="shared" si="17"/>
        <v>9.9885379614335339E-3</v>
      </c>
      <c r="AH240" s="9">
        <f t="shared" si="18"/>
        <v>2.4111082210246472E-2</v>
      </c>
      <c r="AI240" s="9">
        <f t="shared" si="19"/>
        <v>9.3386011257145483E-3</v>
      </c>
      <c r="AJ240" s="1" t="str">
        <f>IF(VLOOKUP(A240,Hospital!A:C,3,FALSE)="H","Hospital","Freestanding")</f>
        <v>Freestanding</v>
      </c>
      <c r="AK240" s="1">
        <v>2024</v>
      </c>
    </row>
    <row r="241" spans="1:37">
      <c r="A241" s="1">
        <v>62042</v>
      </c>
      <c r="B241" s="1" t="s">
        <v>406</v>
      </c>
      <c r="C241" s="1">
        <v>242291</v>
      </c>
      <c r="D241" s="1">
        <v>1027</v>
      </c>
      <c r="E241" s="1">
        <v>7110</v>
      </c>
      <c r="F241" s="1">
        <v>60744</v>
      </c>
      <c r="G241" s="1">
        <v>150780</v>
      </c>
      <c r="H241" s="1">
        <v>848203</v>
      </c>
      <c r="I241" s="1">
        <v>80082</v>
      </c>
      <c r="J241" s="1">
        <v>925090</v>
      </c>
      <c r="K241" s="1">
        <v>314990</v>
      </c>
      <c r="L241" s="1">
        <v>173498</v>
      </c>
      <c r="M241" s="1">
        <v>0</v>
      </c>
      <c r="N241" s="1">
        <v>198177</v>
      </c>
      <c r="O241" s="1">
        <v>69608</v>
      </c>
      <c r="P241" s="1">
        <v>13038</v>
      </c>
      <c r="Q241" s="1">
        <v>0</v>
      </c>
      <c r="R241" s="1">
        <v>17515</v>
      </c>
      <c r="S241" s="1">
        <v>0</v>
      </c>
      <c r="T241" s="1">
        <v>0</v>
      </c>
      <c r="U241" s="1">
        <v>410686</v>
      </c>
      <c r="V241" s="1">
        <v>2515</v>
      </c>
      <c r="W241" s="1">
        <v>0</v>
      </c>
      <c r="X241" s="1">
        <v>0</v>
      </c>
      <c r="Y241" s="1">
        <v>0</v>
      </c>
      <c r="Z241" s="1">
        <v>0</v>
      </c>
      <c r="AA241" s="1">
        <v>95096</v>
      </c>
      <c r="AB241" s="1">
        <v>258</v>
      </c>
      <c r="AC241" s="1">
        <v>269444</v>
      </c>
      <c r="AD241" s="1">
        <v>-7198</v>
      </c>
      <c r="AE241" s="1">
        <f t="shared" si="15"/>
        <v>3561782</v>
      </c>
      <c r="AF241" s="9">
        <f t="shared" si="16"/>
        <v>6.8025218837087731E-2</v>
      </c>
      <c r="AG241" s="9">
        <f t="shared" si="17"/>
        <v>2.8833881467198158E-4</v>
      </c>
      <c r="AH241" s="9">
        <f t="shared" si="18"/>
        <v>1.9961917938829494E-3</v>
      </c>
      <c r="AI241" s="9">
        <f t="shared" si="19"/>
        <v>1.7054384574912221E-2</v>
      </c>
      <c r="AJ241" s="1" t="str">
        <f>IF(VLOOKUP(A241,Hospital!A:C,3,FALSE)="H","Hospital","Freestanding")</f>
        <v>Freestanding</v>
      </c>
      <c r="AK241" s="1">
        <v>2024</v>
      </c>
    </row>
    <row r="242" spans="1:37">
      <c r="A242" s="1">
        <v>64001</v>
      </c>
      <c r="B242" s="1" t="s">
        <v>407</v>
      </c>
      <c r="C242" s="1">
        <v>185243</v>
      </c>
      <c r="D242" s="1">
        <v>2711</v>
      </c>
      <c r="E242" s="1">
        <v>34253</v>
      </c>
      <c r="F242" s="1">
        <v>0</v>
      </c>
      <c r="G242" s="1">
        <v>274780</v>
      </c>
      <c r="H242" s="1">
        <v>160923</v>
      </c>
      <c r="I242" s="1">
        <v>418826</v>
      </c>
      <c r="J242" s="1">
        <v>524501</v>
      </c>
      <c r="K242" s="1">
        <v>58836</v>
      </c>
      <c r="L242" s="1">
        <v>33626</v>
      </c>
      <c r="M242" s="1">
        <v>0</v>
      </c>
      <c r="N242" s="1">
        <v>146858</v>
      </c>
      <c r="O242" s="1">
        <v>74684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207703</v>
      </c>
      <c r="V242" s="1">
        <v>0</v>
      </c>
      <c r="W242" s="1">
        <v>0</v>
      </c>
      <c r="X242" s="1">
        <v>0</v>
      </c>
      <c r="Y242" s="1">
        <v>118603</v>
      </c>
      <c r="Z242" s="1">
        <v>0</v>
      </c>
      <c r="AA242" s="1">
        <v>53254</v>
      </c>
      <c r="AB242" s="1">
        <v>0</v>
      </c>
      <c r="AC242" s="1">
        <v>424054</v>
      </c>
      <c r="AD242" s="1">
        <v>0</v>
      </c>
      <c r="AE242" s="1">
        <f t="shared" si="15"/>
        <v>2496648</v>
      </c>
      <c r="AF242" s="9">
        <f t="shared" si="16"/>
        <v>7.4196682912449005E-2</v>
      </c>
      <c r="AG242" s="9">
        <f t="shared" si="17"/>
        <v>1.0858559156116522E-3</v>
      </c>
      <c r="AH242" s="9">
        <f t="shared" si="18"/>
        <v>1.3719595233288794E-2</v>
      </c>
      <c r="AI242" s="9">
        <f t="shared" si="19"/>
        <v>0</v>
      </c>
      <c r="AJ242" s="1" t="str">
        <f>IF(VLOOKUP(A242,Hospital!A:C,3,FALSE)="H","Hospital","Freestanding")</f>
        <v>Freestanding</v>
      </c>
      <c r="AK242" s="1">
        <v>2024</v>
      </c>
    </row>
    <row r="243" spans="1:37">
      <c r="A243" s="1">
        <v>64002</v>
      </c>
      <c r="B243" s="1" t="s">
        <v>408</v>
      </c>
      <c r="C243" s="1">
        <v>191403</v>
      </c>
      <c r="D243" s="1">
        <v>0</v>
      </c>
      <c r="E243" s="1">
        <v>45202</v>
      </c>
      <c r="F243" s="1">
        <v>56742</v>
      </c>
      <c r="G243" s="1">
        <v>111898</v>
      </c>
      <c r="H243" s="1">
        <v>222238</v>
      </c>
      <c r="I243" s="1">
        <v>211445</v>
      </c>
      <c r="J243" s="1">
        <v>536118</v>
      </c>
      <c r="K243" s="1">
        <v>311535</v>
      </c>
      <c r="L243" s="1">
        <v>43830</v>
      </c>
      <c r="M243" s="1">
        <v>0</v>
      </c>
      <c r="N243" s="1">
        <v>58803</v>
      </c>
      <c r="O243" s="1">
        <v>132206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366890</v>
      </c>
      <c r="V243" s="1">
        <v>2117</v>
      </c>
      <c r="W243" s="1">
        <v>118817</v>
      </c>
      <c r="X243" s="1">
        <v>1760</v>
      </c>
      <c r="Y243" s="1">
        <v>107002</v>
      </c>
      <c r="Z243" s="1">
        <v>-244</v>
      </c>
      <c r="AA243" s="1">
        <v>56901</v>
      </c>
      <c r="AB243" s="1">
        <v>1226</v>
      </c>
      <c r="AC243" s="1">
        <v>157893</v>
      </c>
      <c r="AD243" s="1">
        <v>2548</v>
      </c>
      <c r="AE243" s="1">
        <f t="shared" si="15"/>
        <v>2442983</v>
      </c>
      <c r="AF243" s="9">
        <f t="shared" si="16"/>
        <v>7.8348068734002657E-2</v>
      </c>
      <c r="AG243" s="9">
        <f t="shared" si="17"/>
        <v>0</v>
      </c>
      <c r="AH243" s="9">
        <f t="shared" si="18"/>
        <v>1.8502789417691404E-2</v>
      </c>
      <c r="AI243" s="9">
        <f t="shared" si="19"/>
        <v>2.3226522656932119E-2</v>
      </c>
      <c r="AJ243" s="1" t="str">
        <f>IF(VLOOKUP(A243,Hospital!A:C,3,FALSE)="H","Hospital","Freestanding")</f>
        <v>Freestanding</v>
      </c>
      <c r="AK243" s="1">
        <v>2024</v>
      </c>
    </row>
    <row r="244" spans="1:37">
      <c r="A244" s="1">
        <v>64003</v>
      </c>
      <c r="B244" s="1" t="s">
        <v>409</v>
      </c>
      <c r="C244" s="1">
        <v>101471</v>
      </c>
      <c r="D244" s="1">
        <v>1210</v>
      </c>
      <c r="E244" s="1">
        <v>15960</v>
      </c>
      <c r="F244" s="1">
        <v>0</v>
      </c>
      <c r="G244" s="1">
        <v>63386</v>
      </c>
      <c r="H244" s="1">
        <v>11307</v>
      </c>
      <c r="I244" s="1">
        <v>67660</v>
      </c>
      <c r="J244" s="1">
        <v>251407</v>
      </c>
      <c r="K244" s="1">
        <v>23688</v>
      </c>
      <c r="L244" s="1">
        <v>35933</v>
      </c>
      <c r="M244" s="1">
        <v>0</v>
      </c>
      <c r="N244" s="1">
        <v>2018</v>
      </c>
      <c r="O244" s="1">
        <v>95186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111754</v>
      </c>
      <c r="V244" s="1">
        <v>0</v>
      </c>
      <c r="W244" s="1">
        <v>7590</v>
      </c>
      <c r="X244" s="1">
        <v>0</v>
      </c>
      <c r="Y244" s="1">
        <v>68662</v>
      </c>
      <c r="Z244" s="1">
        <v>0</v>
      </c>
      <c r="AA244" s="1">
        <v>105089</v>
      </c>
      <c r="AB244" s="1">
        <v>0</v>
      </c>
      <c r="AC244" s="1">
        <v>36439</v>
      </c>
      <c r="AD244" s="1">
        <v>0</v>
      </c>
      <c r="AE244" s="1">
        <f t="shared" si="15"/>
        <v>880119</v>
      </c>
      <c r="AF244" s="9">
        <f t="shared" si="16"/>
        <v>0.11529236387352165</v>
      </c>
      <c r="AG244" s="9">
        <f t="shared" si="17"/>
        <v>1.3748140876404214E-3</v>
      </c>
      <c r="AH244" s="9">
        <f t="shared" si="18"/>
        <v>1.8133911436976135E-2</v>
      </c>
      <c r="AI244" s="9">
        <f t="shared" si="19"/>
        <v>0</v>
      </c>
      <c r="AJ244" s="1" t="str">
        <f>IF(VLOOKUP(A244,Hospital!A:C,3,FALSE)="H","Hospital","Freestanding")</f>
        <v>Freestanding</v>
      </c>
      <c r="AK244" s="1">
        <v>2024</v>
      </c>
    </row>
    <row r="245" spans="1:37">
      <c r="A245" s="1">
        <v>64004</v>
      </c>
      <c r="B245" s="1" t="s">
        <v>410</v>
      </c>
      <c r="C245" s="1">
        <v>167003</v>
      </c>
      <c r="D245" s="1">
        <v>14114</v>
      </c>
      <c r="E245" s="1">
        <v>39701</v>
      </c>
      <c r="F245" s="1">
        <v>7211</v>
      </c>
      <c r="G245" s="1">
        <v>256865</v>
      </c>
      <c r="H245" s="1">
        <v>123686</v>
      </c>
      <c r="I245" s="1">
        <v>327247</v>
      </c>
      <c r="J245" s="1">
        <v>675838</v>
      </c>
      <c r="K245" s="1">
        <v>140659</v>
      </c>
      <c r="L245" s="1">
        <v>42226</v>
      </c>
      <c r="M245" s="1">
        <v>0</v>
      </c>
      <c r="N245" s="1">
        <v>50380</v>
      </c>
      <c r="O245" s="1">
        <v>80340</v>
      </c>
      <c r="P245" s="1">
        <v>0</v>
      </c>
      <c r="Q245" s="1">
        <v>971</v>
      </c>
      <c r="R245" s="1">
        <v>0</v>
      </c>
      <c r="S245" s="1">
        <v>0</v>
      </c>
      <c r="T245" s="1">
        <v>0</v>
      </c>
      <c r="U245" s="1">
        <v>208744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53633</v>
      </c>
      <c r="AB245" s="1">
        <v>0</v>
      </c>
      <c r="AC245" s="1">
        <v>222942</v>
      </c>
      <c r="AD245" s="1">
        <v>0</v>
      </c>
      <c r="AE245" s="1">
        <f t="shared" si="15"/>
        <v>2183531</v>
      </c>
      <c r="AF245" s="9">
        <f t="shared" si="16"/>
        <v>7.6482999325404588E-2</v>
      </c>
      <c r="AG245" s="9">
        <f t="shared" si="17"/>
        <v>6.4638422811492029E-3</v>
      </c>
      <c r="AH245" s="9">
        <f t="shared" si="18"/>
        <v>1.8182018024933008E-2</v>
      </c>
      <c r="AI245" s="9">
        <f t="shared" si="19"/>
        <v>3.3024491065160055E-3</v>
      </c>
      <c r="AJ245" s="1" t="str">
        <f>IF(VLOOKUP(A245,Hospital!A:C,3,FALSE)="H","Hospital","Freestanding")</f>
        <v>Freestanding</v>
      </c>
      <c r="AK245" s="1">
        <v>2024</v>
      </c>
    </row>
    <row r="246" spans="1:37">
      <c r="A246" s="1">
        <v>64005</v>
      </c>
      <c r="B246" s="1" t="s">
        <v>411</v>
      </c>
      <c r="C246" s="1">
        <v>97189</v>
      </c>
      <c r="D246" s="1">
        <v>5676</v>
      </c>
      <c r="E246" s="1">
        <v>49238</v>
      </c>
      <c r="F246" s="1">
        <v>0</v>
      </c>
      <c r="G246" s="1">
        <v>167379</v>
      </c>
      <c r="H246" s="1">
        <v>27674</v>
      </c>
      <c r="I246" s="1">
        <v>70099</v>
      </c>
      <c r="J246" s="1">
        <v>239109</v>
      </c>
      <c r="K246" s="1">
        <v>180796</v>
      </c>
      <c r="L246" s="1">
        <v>45642</v>
      </c>
      <c r="M246" s="1">
        <v>0</v>
      </c>
      <c r="N246" s="1">
        <v>30060</v>
      </c>
      <c r="O246" s="1">
        <v>66358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161185</v>
      </c>
      <c r="V246" s="1">
        <v>0</v>
      </c>
      <c r="W246" s="1">
        <v>10436</v>
      </c>
      <c r="X246" s="1">
        <v>0</v>
      </c>
      <c r="Y246" s="1">
        <v>79961</v>
      </c>
      <c r="Z246" s="1">
        <v>0</v>
      </c>
      <c r="AA246" s="1">
        <v>50231</v>
      </c>
      <c r="AB246" s="1">
        <v>0</v>
      </c>
      <c r="AC246" s="1">
        <v>168762</v>
      </c>
      <c r="AD246" s="1">
        <v>0</v>
      </c>
      <c r="AE246" s="1">
        <f t="shared" si="15"/>
        <v>1297692</v>
      </c>
      <c r="AF246" s="9">
        <f t="shared" si="16"/>
        <v>7.4893734414637675E-2</v>
      </c>
      <c r="AG246" s="9">
        <f t="shared" si="17"/>
        <v>4.3739192350727291E-3</v>
      </c>
      <c r="AH246" s="9">
        <f t="shared" si="18"/>
        <v>3.7942747585713713E-2</v>
      </c>
      <c r="AI246" s="9">
        <f t="shared" si="19"/>
        <v>0</v>
      </c>
      <c r="AJ246" s="1" t="str">
        <f>IF(VLOOKUP(A246,Hospital!A:C,3,FALSE)="H","Hospital","Freestanding")</f>
        <v>Freestanding</v>
      </c>
      <c r="AK246" s="1">
        <v>2024</v>
      </c>
    </row>
    <row r="247" spans="1:37">
      <c r="A247" s="1">
        <v>65001</v>
      </c>
      <c r="B247" s="1" t="s">
        <v>412</v>
      </c>
      <c r="C247" s="1">
        <v>192372</v>
      </c>
      <c r="D247" s="1">
        <v>20997</v>
      </c>
      <c r="E247" s="1">
        <v>36469</v>
      </c>
      <c r="F247" s="1">
        <v>84112</v>
      </c>
      <c r="G247" s="1">
        <v>188194</v>
      </c>
      <c r="H247" s="1">
        <v>306362</v>
      </c>
      <c r="I247" s="1">
        <v>144158</v>
      </c>
      <c r="J247" s="1">
        <v>784328</v>
      </c>
      <c r="K247" s="1">
        <v>136328</v>
      </c>
      <c r="L247" s="1">
        <v>32699</v>
      </c>
      <c r="M247" s="1">
        <v>0</v>
      </c>
      <c r="N247" s="1">
        <v>74380</v>
      </c>
      <c r="O247" s="1">
        <v>67927</v>
      </c>
      <c r="P247" s="1">
        <v>0</v>
      </c>
      <c r="Q247" s="1">
        <v>0</v>
      </c>
      <c r="R247" s="1">
        <v>41156</v>
      </c>
      <c r="S247" s="1">
        <v>0</v>
      </c>
      <c r="T247" s="1">
        <v>0</v>
      </c>
      <c r="U247" s="1">
        <v>282333</v>
      </c>
      <c r="V247" s="1">
        <v>3520</v>
      </c>
      <c r="W247" s="1">
        <v>35341</v>
      </c>
      <c r="X247" s="1">
        <v>574</v>
      </c>
      <c r="Y247" s="1">
        <v>121916</v>
      </c>
      <c r="Z247" s="1">
        <v>2714</v>
      </c>
      <c r="AA247" s="1">
        <v>143613</v>
      </c>
      <c r="AB247" s="1">
        <v>1586</v>
      </c>
      <c r="AC247" s="1">
        <v>195337</v>
      </c>
      <c r="AD247" s="1">
        <v>-16385</v>
      </c>
      <c r="AE247" s="1">
        <f t="shared" si="15"/>
        <v>2546081</v>
      </c>
      <c r="AF247" s="9">
        <f t="shared" si="16"/>
        <v>7.5556119385047055E-2</v>
      </c>
      <c r="AG247" s="9">
        <f t="shared" si="17"/>
        <v>8.2467918341953775E-3</v>
      </c>
      <c r="AH247" s="9">
        <f t="shared" si="18"/>
        <v>1.4323582007013917E-2</v>
      </c>
      <c r="AI247" s="9">
        <f t="shared" si="19"/>
        <v>3.3035869636511957E-2</v>
      </c>
      <c r="AJ247" s="1" t="str">
        <f>IF(VLOOKUP(A247,Hospital!A:C,3,FALSE)="H","Hospital","Freestanding")</f>
        <v>Freestanding</v>
      </c>
      <c r="AK247" s="1">
        <v>2024</v>
      </c>
    </row>
    <row r="248" spans="1:37">
      <c r="A248" s="1">
        <v>65002</v>
      </c>
      <c r="B248" s="1" t="s">
        <v>413</v>
      </c>
      <c r="C248" s="1">
        <v>198094</v>
      </c>
      <c r="D248" s="1">
        <v>3707</v>
      </c>
      <c r="E248" s="1">
        <v>32242</v>
      </c>
      <c r="F248" s="1">
        <v>0</v>
      </c>
      <c r="G248" s="1">
        <v>199986</v>
      </c>
      <c r="H248" s="1">
        <v>82971</v>
      </c>
      <c r="I248" s="1">
        <v>175167</v>
      </c>
      <c r="J248" s="1">
        <v>981250</v>
      </c>
      <c r="K248" s="1">
        <v>187464</v>
      </c>
      <c r="L248" s="1">
        <v>57347</v>
      </c>
      <c r="M248" s="1">
        <v>0</v>
      </c>
      <c r="N248" s="1">
        <v>61472</v>
      </c>
      <c r="O248" s="1">
        <v>68297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276813</v>
      </c>
      <c r="V248" s="1">
        <v>0</v>
      </c>
      <c r="W248" s="1">
        <v>36936</v>
      </c>
      <c r="X248" s="1">
        <v>0</v>
      </c>
      <c r="Y248" s="1">
        <v>147133</v>
      </c>
      <c r="Z248" s="1">
        <v>0</v>
      </c>
      <c r="AA248" s="1">
        <v>44412</v>
      </c>
      <c r="AB248" s="1">
        <v>0</v>
      </c>
      <c r="AC248" s="1">
        <v>202795</v>
      </c>
      <c r="AD248" s="1">
        <v>0</v>
      </c>
      <c r="AE248" s="1">
        <f t="shared" si="15"/>
        <v>2522043</v>
      </c>
      <c r="AF248" s="9">
        <f t="shared" si="16"/>
        <v>7.8545052562545528E-2</v>
      </c>
      <c r="AG248" s="9">
        <f t="shared" si="17"/>
        <v>1.4698401256441702E-3</v>
      </c>
      <c r="AH248" s="9">
        <f t="shared" si="18"/>
        <v>1.2784080207990109E-2</v>
      </c>
      <c r="AI248" s="9">
        <f t="shared" si="19"/>
        <v>0</v>
      </c>
      <c r="AJ248" s="1" t="str">
        <f>IF(VLOOKUP(A248,Hospital!A:C,3,FALSE)="H","Hospital","Freestanding")</f>
        <v>Freestanding</v>
      </c>
      <c r="AK248" s="1">
        <v>2024</v>
      </c>
    </row>
    <row r="249" spans="1:37">
      <c r="A249" s="1">
        <v>65003</v>
      </c>
      <c r="B249" s="1" t="s">
        <v>414</v>
      </c>
      <c r="C249" s="1">
        <v>179801</v>
      </c>
      <c r="D249" s="1">
        <v>923</v>
      </c>
      <c r="E249" s="1">
        <v>28814</v>
      </c>
      <c r="F249" s="1">
        <v>0</v>
      </c>
      <c r="G249" s="1">
        <v>252499</v>
      </c>
      <c r="H249" s="1">
        <v>85728</v>
      </c>
      <c r="I249" s="1">
        <v>386010</v>
      </c>
      <c r="J249" s="1">
        <v>437837</v>
      </c>
      <c r="K249" s="1">
        <v>140042</v>
      </c>
      <c r="L249" s="1">
        <v>36429</v>
      </c>
      <c r="M249" s="1">
        <v>0</v>
      </c>
      <c r="N249" s="1">
        <v>41150</v>
      </c>
      <c r="O249" s="1">
        <v>78749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236604</v>
      </c>
      <c r="V249" s="1">
        <v>0</v>
      </c>
      <c r="W249" s="1">
        <v>51781</v>
      </c>
      <c r="X249" s="1">
        <v>0</v>
      </c>
      <c r="Y249" s="1">
        <v>60008</v>
      </c>
      <c r="Z249" s="1">
        <v>0</v>
      </c>
      <c r="AA249" s="1">
        <v>57339</v>
      </c>
      <c r="AB249" s="1">
        <v>0</v>
      </c>
      <c r="AC249" s="1">
        <v>375105</v>
      </c>
      <c r="AD249" s="1">
        <v>0</v>
      </c>
      <c r="AE249" s="1">
        <f t="shared" si="15"/>
        <v>2239281</v>
      </c>
      <c r="AF249" s="9">
        <f t="shared" si="16"/>
        <v>8.0294076536173889E-2</v>
      </c>
      <c r="AG249" s="9">
        <f t="shared" si="17"/>
        <v>4.1218587573422003E-4</v>
      </c>
      <c r="AH249" s="9">
        <f t="shared" si="18"/>
        <v>1.2867523102281491E-2</v>
      </c>
      <c r="AI249" s="9">
        <f t="shared" si="19"/>
        <v>0</v>
      </c>
      <c r="AJ249" s="1" t="str">
        <f>IF(VLOOKUP(A249,Hospital!A:C,3,FALSE)="H","Hospital","Freestanding")</f>
        <v>Freestanding</v>
      </c>
      <c r="AK249" s="1">
        <v>2024</v>
      </c>
    </row>
    <row r="250" spans="1:37">
      <c r="A250" s="1">
        <v>65004</v>
      </c>
      <c r="B250" s="1" t="s">
        <v>415</v>
      </c>
      <c r="C250" s="1">
        <v>267052</v>
      </c>
      <c r="D250" s="1">
        <v>10173</v>
      </c>
      <c r="E250" s="1">
        <v>52758</v>
      </c>
      <c r="F250" s="1">
        <v>26862</v>
      </c>
      <c r="G250" s="1">
        <v>358633</v>
      </c>
      <c r="H250" s="1">
        <v>387716</v>
      </c>
      <c r="I250" s="1">
        <v>271381</v>
      </c>
      <c r="J250" s="1">
        <v>800970</v>
      </c>
      <c r="K250" s="1">
        <v>489792</v>
      </c>
      <c r="L250" s="1">
        <v>106417</v>
      </c>
      <c r="M250" s="1">
        <v>0</v>
      </c>
      <c r="N250" s="1">
        <v>69608</v>
      </c>
      <c r="O250" s="1">
        <v>154935</v>
      </c>
      <c r="P250" s="1">
        <v>0</v>
      </c>
      <c r="Q250" s="1">
        <v>0</v>
      </c>
      <c r="R250" s="1">
        <v>1828</v>
      </c>
      <c r="S250" s="1">
        <v>0</v>
      </c>
      <c r="T250" s="1">
        <v>0</v>
      </c>
      <c r="U250" s="1">
        <v>328086</v>
      </c>
      <c r="V250" s="1">
        <v>1698</v>
      </c>
      <c r="W250" s="1">
        <v>10386</v>
      </c>
      <c r="X250" s="1">
        <v>-21</v>
      </c>
      <c r="Y250" s="1">
        <v>161461</v>
      </c>
      <c r="Z250" s="1">
        <v>359</v>
      </c>
      <c r="AA250" s="1">
        <v>95736</v>
      </c>
      <c r="AB250" s="1">
        <v>195</v>
      </c>
      <c r="AC250" s="1">
        <v>208020</v>
      </c>
      <c r="AD250" s="1">
        <v>2323</v>
      </c>
      <c r="AE250" s="1">
        <f t="shared" si="15"/>
        <v>3449523</v>
      </c>
      <c r="AF250" s="9">
        <f t="shared" si="16"/>
        <v>7.7417080564472246E-2</v>
      </c>
      <c r="AG250" s="9">
        <f t="shared" si="17"/>
        <v>2.9491033977741272E-3</v>
      </c>
      <c r="AH250" s="9">
        <f t="shared" si="18"/>
        <v>1.5294288514672898E-2</v>
      </c>
      <c r="AI250" s="9">
        <f t="shared" si="19"/>
        <v>7.7871636165348082E-3</v>
      </c>
      <c r="AJ250" s="1" t="str">
        <f>IF(VLOOKUP(A250,Hospital!A:C,3,FALSE)="H","Hospital","Freestanding")</f>
        <v>Freestanding</v>
      </c>
      <c r="AK250" s="1">
        <v>2024</v>
      </c>
    </row>
    <row r="251" spans="1:37">
      <c r="A251" s="1">
        <v>66001</v>
      </c>
      <c r="B251" s="1" t="s">
        <v>416</v>
      </c>
      <c r="C251" s="1">
        <v>539911</v>
      </c>
      <c r="D251" s="1">
        <v>7446</v>
      </c>
      <c r="E251" s="1">
        <v>190962</v>
      </c>
      <c r="F251" s="1">
        <v>43454</v>
      </c>
      <c r="G251" s="1">
        <v>345551</v>
      </c>
      <c r="H251" s="1">
        <v>871298</v>
      </c>
      <c r="I251" s="1">
        <v>915553</v>
      </c>
      <c r="J251" s="1">
        <v>2361887</v>
      </c>
      <c r="K251" s="1">
        <v>0</v>
      </c>
      <c r="L251" s="1">
        <v>250479</v>
      </c>
      <c r="M251" s="1">
        <v>0</v>
      </c>
      <c r="N251" s="1">
        <v>146859</v>
      </c>
      <c r="O251" s="1">
        <v>150288</v>
      </c>
      <c r="P251" s="1">
        <v>0</v>
      </c>
      <c r="Q251" s="1">
        <v>20902</v>
      </c>
      <c r="R251" s="1">
        <v>209050</v>
      </c>
      <c r="S251" s="1">
        <v>0</v>
      </c>
      <c r="T251" s="1">
        <v>0</v>
      </c>
      <c r="U251" s="1">
        <v>658986</v>
      </c>
      <c r="V251" s="1">
        <v>40545</v>
      </c>
      <c r="W251" s="1">
        <v>4994</v>
      </c>
      <c r="X251" s="1">
        <v>-34</v>
      </c>
      <c r="Y251" s="1">
        <v>316954</v>
      </c>
      <c r="Z251" s="1">
        <v>13211</v>
      </c>
      <c r="AA251" s="1">
        <v>234009</v>
      </c>
      <c r="AB251" s="1">
        <v>4809</v>
      </c>
      <c r="AC251" s="1">
        <v>663907</v>
      </c>
      <c r="AD251" s="1">
        <v>-29797</v>
      </c>
      <c r="AE251" s="1">
        <f t="shared" si="15"/>
        <v>7179451</v>
      </c>
      <c r="AF251" s="9">
        <f t="shared" si="16"/>
        <v>7.5202268251430365E-2</v>
      </c>
      <c r="AG251" s="9">
        <f t="shared" si="17"/>
        <v>1.0371266549489648E-3</v>
      </c>
      <c r="AH251" s="9">
        <f t="shared" si="18"/>
        <v>2.6598412608429253E-2</v>
      </c>
      <c r="AI251" s="9">
        <f t="shared" si="19"/>
        <v>6.0525519291098999E-3</v>
      </c>
      <c r="AJ251" s="1" t="str">
        <f>IF(VLOOKUP(A251,Hospital!A:C,3,FALSE)="H","Hospital","Freestanding")</f>
        <v>Freestanding</v>
      </c>
      <c r="AK251" s="1">
        <v>2024</v>
      </c>
    </row>
    <row r="252" spans="1:37">
      <c r="A252" s="1">
        <v>66002</v>
      </c>
      <c r="B252" s="1" t="s">
        <v>417</v>
      </c>
      <c r="C252" s="1">
        <v>260282</v>
      </c>
      <c r="D252" s="1">
        <v>14377</v>
      </c>
      <c r="E252" s="1">
        <v>89334</v>
      </c>
      <c r="F252" s="1">
        <v>10485</v>
      </c>
      <c r="G252" s="1">
        <v>427869</v>
      </c>
      <c r="H252" s="1">
        <v>271361</v>
      </c>
      <c r="I252" s="1">
        <v>222094</v>
      </c>
      <c r="J252" s="1">
        <v>1144226</v>
      </c>
      <c r="K252" s="1">
        <v>105269</v>
      </c>
      <c r="L252" s="1">
        <v>62483</v>
      </c>
      <c r="M252" s="1">
        <v>0</v>
      </c>
      <c r="N252" s="1">
        <v>125137</v>
      </c>
      <c r="O252" s="1">
        <v>102606</v>
      </c>
      <c r="P252" s="1">
        <v>0</v>
      </c>
      <c r="Q252" s="1">
        <v>37431</v>
      </c>
      <c r="R252" s="1">
        <v>0</v>
      </c>
      <c r="S252" s="1">
        <v>0</v>
      </c>
      <c r="T252" s="1">
        <v>0</v>
      </c>
      <c r="U252" s="1">
        <v>424959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117614</v>
      </c>
      <c r="AB252" s="1">
        <v>0</v>
      </c>
      <c r="AC252" s="1">
        <v>329619</v>
      </c>
      <c r="AD252" s="1">
        <v>0</v>
      </c>
      <c r="AE252" s="1">
        <f t="shared" si="15"/>
        <v>3370668</v>
      </c>
      <c r="AF252" s="9">
        <f t="shared" si="16"/>
        <v>7.7219708378279919E-2</v>
      </c>
      <c r="AG252" s="9">
        <f t="shared" si="17"/>
        <v>4.2653266355511723E-3</v>
      </c>
      <c r="AH252" s="9">
        <f t="shared" si="18"/>
        <v>2.6503351857851323E-2</v>
      </c>
      <c r="AI252" s="9">
        <f t="shared" si="19"/>
        <v>3.1106593707834768E-3</v>
      </c>
      <c r="AJ252" s="1" t="str">
        <f>IF(VLOOKUP(A252,Hospital!A:C,3,FALSE)="H","Hospital","Freestanding")</f>
        <v>Freestanding</v>
      </c>
      <c r="AK252" s="1">
        <v>2024</v>
      </c>
    </row>
    <row r="253" spans="1:37">
      <c r="A253" s="1">
        <v>67001</v>
      </c>
      <c r="B253" s="1" t="s">
        <v>418</v>
      </c>
      <c r="C253" s="1">
        <v>218847</v>
      </c>
      <c r="D253" s="1">
        <v>0</v>
      </c>
      <c r="E253" s="1">
        <v>24914</v>
      </c>
      <c r="F253" s="1">
        <v>100745</v>
      </c>
      <c r="G253" s="1">
        <v>119784</v>
      </c>
      <c r="H253" s="1">
        <v>588665</v>
      </c>
      <c r="I253" s="1">
        <v>299742</v>
      </c>
      <c r="J253" s="1">
        <v>845752</v>
      </c>
      <c r="K253" s="1">
        <v>78157</v>
      </c>
      <c r="L253" s="1">
        <v>63404</v>
      </c>
      <c r="M253" s="1">
        <v>0</v>
      </c>
      <c r="N253" s="1">
        <v>84378</v>
      </c>
      <c r="O253" s="1">
        <v>17754</v>
      </c>
      <c r="P253" s="1">
        <v>0</v>
      </c>
      <c r="Q253" s="1">
        <v>0</v>
      </c>
      <c r="R253" s="1">
        <v>-13888</v>
      </c>
      <c r="S253" s="1">
        <v>0</v>
      </c>
      <c r="T253" s="1">
        <v>0</v>
      </c>
      <c r="U253" s="1">
        <v>275311</v>
      </c>
      <c r="V253" s="1">
        <v>-1793</v>
      </c>
      <c r="W253" s="1">
        <v>44918</v>
      </c>
      <c r="X253" s="1">
        <v>1359</v>
      </c>
      <c r="Y253" s="1">
        <v>90728</v>
      </c>
      <c r="Z253" s="1">
        <v>2820</v>
      </c>
      <c r="AA253" s="1">
        <v>80024</v>
      </c>
      <c r="AB253" s="1">
        <v>770</v>
      </c>
      <c r="AC253" s="1">
        <v>206069</v>
      </c>
      <c r="AD253" s="1">
        <v>-263</v>
      </c>
      <c r="AE253" s="1">
        <f t="shared" si="15"/>
        <v>2783691</v>
      </c>
      <c r="AF253" s="9">
        <f t="shared" si="16"/>
        <v>7.8617562078549669E-2</v>
      </c>
      <c r="AG253" s="9">
        <f t="shared" si="17"/>
        <v>0</v>
      </c>
      <c r="AH253" s="9">
        <f t="shared" si="18"/>
        <v>8.9499876243447993E-3</v>
      </c>
      <c r="AI253" s="9">
        <f t="shared" si="19"/>
        <v>3.6191157711110894E-2</v>
      </c>
      <c r="AJ253" s="1" t="str">
        <f>IF(VLOOKUP(A253,Hospital!A:C,3,FALSE)="H","Hospital","Freestanding")</f>
        <v>Freestanding</v>
      </c>
      <c r="AK253" s="1">
        <v>2024</v>
      </c>
    </row>
    <row r="254" spans="1:37">
      <c r="A254" s="1">
        <v>67002</v>
      </c>
      <c r="B254" s="1" t="s">
        <v>419</v>
      </c>
      <c r="C254" s="1">
        <v>169336</v>
      </c>
      <c r="D254" s="1">
        <v>9666</v>
      </c>
      <c r="E254" s="1">
        <v>19911</v>
      </c>
      <c r="F254" s="1">
        <v>68919</v>
      </c>
      <c r="G254" s="1">
        <v>226486</v>
      </c>
      <c r="H254" s="1">
        <v>205734</v>
      </c>
      <c r="I254" s="1">
        <v>108030</v>
      </c>
      <c r="J254" s="1">
        <v>573718</v>
      </c>
      <c r="K254" s="1">
        <v>196929</v>
      </c>
      <c r="L254" s="1">
        <v>0</v>
      </c>
      <c r="M254" s="1">
        <v>0</v>
      </c>
      <c r="N254" s="1">
        <v>52978</v>
      </c>
      <c r="O254" s="1">
        <v>134146</v>
      </c>
      <c r="P254" s="1">
        <v>10500</v>
      </c>
      <c r="Q254" s="1">
        <v>0</v>
      </c>
      <c r="R254" s="1">
        <v>2084</v>
      </c>
      <c r="S254" s="1">
        <v>0</v>
      </c>
      <c r="T254" s="1">
        <v>0</v>
      </c>
      <c r="U254" s="1">
        <v>312612</v>
      </c>
      <c r="V254" s="1">
        <v>486</v>
      </c>
      <c r="W254" s="1">
        <v>71757</v>
      </c>
      <c r="X254" s="1">
        <v>1038</v>
      </c>
      <c r="Y254" s="1">
        <v>161122</v>
      </c>
      <c r="Z254" s="1">
        <v>1766</v>
      </c>
      <c r="AA254" s="1">
        <v>133580</v>
      </c>
      <c r="AB254" s="1">
        <v>0</v>
      </c>
      <c r="AC254" s="1">
        <v>115357</v>
      </c>
      <c r="AD254" s="1">
        <v>3897</v>
      </c>
      <c r="AE254" s="1">
        <f t="shared" si="15"/>
        <v>2312220</v>
      </c>
      <c r="AF254" s="9">
        <f t="shared" si="16"/>
        <v>7.3235245781110792E-2</v>
      </c>
      <c r="AG254" s="9">
        <f t="shared" si="17"/>
        <v>4.1803980590082255E-3</v>
      </c>
      <c r="AH254" s="9">
        <f t="shared" si="18"/>
        <v>8.611204816150712E-3</v>
      </c>
      <c r="AI254" s="9">
        <f t="shared" si="19"/>
        <v>2.9806419804343877E-2</v>
      </c>
      <c r="AJ254" s="1" t="str">
        <f>IF(VLOOKUP(A254,Hospital!A:C,3,FALSE)="H","Hospital","Freestanding")</f>
        <v>Freestanding</v>
      </c>
      <c r="AK254" s="1">
        <v>2024</v>
      </c>
    </row>
    <row r="255" spans="1:37">
      <c r="A255" s="1">
        <v>68001</v>
      </c>
      <c r="B255" s="1" t="s">
        <v>420</v>
      </c>
      <c r="C255" s="1">
        <v>0</v>
      </c>
      <c r="D255" s="1">
        <v>0</v>
      </c>
      <c r="E255" s="1">
        <v>0</v>
      </c>
      <c r="F255" s="1">
        <v>0</v>
      </c>
      <c r="G255" s="1">
        <v>370927</v>
      </c>
      <c r="H255" s="1">
        <v>463470</v>
      </c>
      <c r="I255" s="1">
        <v>271263</v>
      </c>
      <c r="J255" s="1">
        <v>672282</v>
      </c>
      <c r="K255" s="1">
        <v>12146</v>
      </c>
      <c r="L255" s="1">
        <v>148268</v>
      </c>
      <c r="M255" s="1">
        <v>0</v>
      </c>
      <c r="N255" s="1">
        <v>38358</v>
      </c>
      <c r="O255" s="1">
        <v>102816</v>
      </c>
      <c r="P255" s="1">
        <v>0</v>
      </c>
      <c r="Q255" s="1">
        <v>12217</v>
      </c>
      <c r="R255" s="1">
        <v>436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f t="shared" si="15"/>
        <v>2092183</v>
      </c>
      <c r="AF255" s="9">
        <f t="shared" si="16"/>
        <v>0</v>
      </c>
      <c r="AG255" s="9">
        <f t="shared" si="17"/>
        <v>0</v>
      </c>
      <c r="AH255" s="9">
        <f t="shared" si="18"/>
        <v>0</v>
      </c>
      <c r="AI255" s="9">
        <f t="shared" si="19"/>
        <v>0</v>
      </c>
      <c r="AJ255" s="1" t="str">
        <f>IF(VLOOKUP(A255,Hospital!A:C,3,FALSE)="H","Hospital","Freestanding")</f>
        <v>Hospital</v>
      </c>
      <c r="AK255" s="1">
        <v>2024</v>
      </c>
    </row>
    <row r="256" spans="1:37">
      <c r="A256" s="1">
        <v>68002</v>
      </c>
      <c r="B256" s="1" t="s">
        <v>421</v>
      </c>
      <c r="C256" s="1">
        <v>0</v>
      </c>
      <c r="D256" s="1">
        <v>0</v>
      </c>
      <c r="E256" s="1">
        <v>0</v>
      </c>
      <c r="F256" s="1">
        <v>0</v>
      </c>
      <c r="G256" s="1">
        <v>404650</v>
      </c>
      <c r="H256" s="1">
        <v>351677</v>
      </c>
      <c r="I256" s="1">
        <v>373739</v>
      </c>
      <c r="J256" s="1">
        <v>928495</v>
      </c>
      <c r="K256" s="1">
        <v>113393</v>
      </c>
      <c r="L256" s="1">
        <v>0</v>
      </c>
      <c r="M256" s="1">
        <v>0</v>
      </c>
      <c r="N256" s="1">
        <v>70597</v>
      </c>
      <c r="O256" s="1">
        <v>105826</v>
      </c>
      <c r="P256" s="1">
        <v>0</v>
      </c>
      <c r="Q256" s="1">
        <v>13574</v>
      </c>
      <c r="R256" s="1">
        <v>3156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f t="shared" si="15"/>
        <v>2365107</v>
      </c>
      <c r="AF256" s="9">
        <f t="shared" si="16"/>
        <v>0</v>
      </c>
      <c r="AG256" s="9">
        <f t="shared" si="17"/>
        <v>0</v>
      </c>
      <c r="AH256" s="9">
        <f t="shared" si="18"/>
        <v>0</v>
      </c>
      <c r="AI256" s="9">
        <f t="shared" si="19"/>
        <v>0</v>
      </c>
      <c r="AJ256" s="1" t="str">
        <f>IF(VLOOKUP(A256,Hospital!A:C,3,FALSE)="H","Hospital","Freestanding")</f>
        <v>Hospital</v>
      </c>
      <c r="AK256" s="1">
        <v>2024</v>
      </c>
    </row>
    <row r="257" spans="1:37">
      <c r="A257" s="1">
        <v>68003</v>
      </c>
      <c r="B257" s="1" t="s">
        <v>422</v>
      </c>
      <c r="C257" s="1">
        <v>251444</v>
      </c>
      <c r="D257" s="1">
        <v>12585</v>
      </c>
      <c r="E257" s="1">
        <v>62621</v>
      </c>
      <c r="F257" s="1">
        <v>42537</v>
      </c>
      <c r="G257" s="1">
        <v>464996</v>
      </c>
      <c r="H257" s="1">
        <v>440952</v>
      </c>
      <c r="I257" s="1">
        <v>344226</v>
      </c>
      <c r="J257" s="1">
        <v>835373</v>
      </c>
      <c r="K257" s="1">
        <v>0</v>
      </c>
      <c r="L257" s="1">
        <v>0</v>
      </c>
      <c r="M257" s="1">
        <v>0</v>
      </c>
      <c r="N257" s="1">
        <v>64501</v>
      </c>
      <c r="O257" s="1">
        <v>172182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317453</v>
      </c>
      <c r="V257" s="1">
        <v>0</v>
      </c>
      <c r="W257" s="1">
        <v>52276</v>
      </c>
      <c r="X257" s="1">
        <v>0</v>
      </c>
      <c r="Y257" s="1">
        <v>221912</v>
      </c>
      <c r="Z257" s="1">
        <v>0</v>
      </c>
      <c r="AA257" s="1">
        <v>43478</v>
      </c>
      <c r="AB257" s="1">
        <v>0</v>
      </c>
      <c r="AC257" s="1">
        <v>345990</v>
      </c>
      <c r="AD257" s="1">
        <v>0</v>
      </c>
      <c r="AE257" s="1">
        <f t="shared" si="15"/>
        <v>3303339</v>
      </c>
      <c r="AF257" s="9">
        <f t="shared" si="16"/>
        <v>7.6118133803403168E-2</v>
      </c>
      <c r="AG257" s="9">
        <f t="shared" si="17"/>
        <v>3.8097815573878428E-3</v>
      </c>
      <c r="AH257" s="9">
        <f t="shared" si="18"/>
        <v>1.89568796905192E-2</v>
      </c>
      <c r="AI257" s="9">
        <f t="shared" si="19"/>
        <v>1.2876970846770495E-2</v>
      </c>
      <c r="AJ257" s="1" t="str">
        <f>IF(VLOOKUP(A257,Hospital!A:C,3,FALSE)="H","Hospital","Freestanding")</f>
        <v>Freestanding</v>
      </c>
      <c r="AK257" s="1">
        <v>2024</v>
      </c>
    </row>
    <row r="258" spans="1:37">
      <c r="A258" s="1">
        <v>69001</v>
      </c>
      <c r="B258" s="1" t="s">
        <v>423</v>
      </c>
      <c r="C258" s="1">
        <v>323130</v>
      </c>
      <c r="D258" s="1">
        <v>12724</v>
      </c>
      <c r="E258" s="1">
        <v>76416</v>
      </c>
      <c r="F258" s="1">
        <v>129017</v>
      </c>
      <c r="G258" s="1">
        <v>255269</v>
      </c>
      <c r="H258" s="1">
        <v>574699</v>
      </c>
      <c r="I258" s="1">
        <v>676438</v>
      </c>
      <c r="J258" s="1">
        <v>1202447</v>
      </c>
      <c r="K258" s="1">
        <v>7353</v>
      </c>
      <c r="L258" s="1">
        <v>56328</v>
      </c>
      <c r="M258" s="1">
        <v>0</v>
      </c>
      <c r="N258" s="1">
        <v>53888</v>
      </c>
      <c r="O258" s="1">
        <v>168692</v>
      </c>
      <c r="P258" s="1">
        <v>0</v>
      </c>
      <c r="Q258" s="1">
        <v>0</v>
      </c>
      <c r="R258" s="1">
        <v>22811</v>
      </c>
      <c r="S258" s="1">
        <v>0</v>
      </c>
      <c r="T258" s="1">
        <v>0</v>
      </c>
      <c r="U258" s="1">
        <v>548678</v>
      </c>
      <c r="V258" s="1">
        <v>-4039</v>
      </c>
      <c r="W258" s="1">
        <v>48558</v>
      </c>
      <c r="X258" s="1">
        <v>-80</v>
      </c>
      <c r="Y258" s="1">
        <v>235745</v>
      </c>
      <c r="Z258" s="1">
        <v>2833</v>
      </c>
      <c r="AA258" s="1">
        <v>105727</v>
      </c>
      <c r="AB258" s="1">
        <v>-213</v>
      </c>
      <c r="AC258" s="1">
        <v>308463</v>
      </c>
      <c r="AD258" s="1">
        <v>-9054</v>
      </c>
      <c r="AE258" s="1">
        <f t="shared" si="15"/>
        <v>4254543</v>
      </c>
      <c r="AF258" s="9">
        <f t="shared" si="16"/>
        <v>7.5949402791322118E-2</v>
      </c>
      <c r="AG258" s="9">
        <f t="shared" si="17"/>
        <v>2.9906854860792336E-3</v>
      </c>
      <c r="AH258" s="9">
        <f t="shared" si="18"/>
        <v>1.7961036003161797E-2</v>
      </c>
      <c r="AI258" s="9">
        <f t="shared" si="19"/>
        <v>3.0324526041927417E-2</v>
      </c>
      <c r="AJ258" s="1" t="str">
        <f>IF(VLOOKUP(A258,Hospital!A:C,3,FALSE)="H","Hospital","Freestanding")</f>
        <v>Freestanding</v>
      </c>
      <c r="AK258" s="1">
        <v>2024</v>
      </c>
    </row>
    <row r="259" spans="1:37">
      <c r="A259" s="1">
        <v>69002</v>
      </c>
      <c r="B259" s="1" t="s">
        <v>424</v>
      </c>
      <c r="C259" s="1">
        <v>472377</v>
      </c>
      <c r="D259" s="1">
        <v>0</v>
      </c>
      <c r="E259" s="1">
        <v>158636</v>
      </c>
      <c r="F259" s="1">
        <v>0</v>
      </c>
      <c r="G259" s="1">
        <v>339358</v>
      </c>
      <c r="H259" s="1">
        <v>1649674</v>
      </c>
      <c r="I259" s="1">
        <v>407138</v>
      </c>
      <c r="J259" s="1">
        <v>1242845</v>
      </c>
      <c r="K259" s="1">
        <v>146597</v>
      </c>
      <c r="L259" s="1">
        <v>62859</v>
      </c>
      <c r="M259" s="1">
        <v>0</v>
      </c>
      <c r="N259" s="1">
        <v>70342</v>
      </c>
      <c r="O259" s="1">
        <v>138030</v>
      </c>
      <c r="P259" s="1">
        <v>0</v>
      </c>
      <c r="Q259" s="1">
        <v>0</v>
      </c>
      <c r="R259" s="1">
        <v>41642</v>
      </c>
      <c r="S259" s="1">
        <v>0</v>
      </c>
      <c r="T259" s="1">
        <v>0</v>
      </c>
      <c r="U259" s="1">
        <v>592269</v>
      </c>
      <c r="V259" s="1">
        <v>16388</v>
      </c>
      <c r="W259" s="1">
        <v>82582</v>
      </c>
      <c r="X259" s="1">
        <v>-940</v>
      </c>
      <c r="Y259" s="1">
        <v>256090</v>
      </c>
      <c r="Z259" s="1">
        <v>7273</v>
      </c>
      <c r="AA259" s="1">
        <v>153780</v>
      </c>
      <c r="AB259" s="1">
        <v>516</v>
      </c>
      <c r="AC259" s="1">
        <v>606166</v>
      </c>
      <c r="AD259" s="1">
        <v>-11161</v>
      </c>
      <c r="AE259" s="1">
        <f t="shared" si="15"/>
        <v>5801448</v>
      </c>
      <c r="AF259" s="9">
        <f t="shared" si="16"/>
        <v>8.1423982426456293E-2</v>
      </c>
      <c r="AG259" s="9">
        <f t="shared" si="17"/>
        <v>0</v>
      </c>
      <c r="AH259" s="9">
        <f t="shared" si="18"/>
        <v>2.7344207859830855E-2</v>
      </c>
      <c r="AI259" s="9">
        <f t="shared" si="19"/>
        <v>0</v>
      </c>
      <c r="AJ259" s="1" t="str">
        <f>IF(VLOOKUP(A259,Hospital!A:C,3,FALSE)="H","Hospital","Freestanding")</f>
        <v>Freestanding</v>
      </c>
      <c r="AK259" s="1">
        <v>2024</v>
      </c>
    </row>
    <row r="260" spans="1:37">
      <c r="A260" s="1">
        <v>69003</v>
      </c>
      <c r="B260" s="1" t="s">
        <v>425</v>
      </c>
      <c r="C260" s="1">
        <v>245976</v>
      </c>
      <c r="D260" s="1">
        <v>12414</v>
      </c>
      <c r="E260" s="1">
        <v>114370</v>
      </c>
      <c r="F260" s="1">
        <v>145231</v>
      </c>
      <c r="G260" s="1">
        <v>322037</v>
      </c>
      <c r="H260" s="1">
        <v>187120</v>
      </c>
      <c r="I260" s="1">
        <v>542772</v>
      </c>
      <c r="J260" s="1">
        <v>915807</v>
      </c>
      <c r="K260" s="1">
        <v>70122</v>
      </c>
      <c r="L260" s="1">
        <v>92944</v>
      </c>
      <c r="M260" s="1">
        <v>0</v>
      </c>
      <c r="N260" s="1">
        <v>53892</v>
      </c>
      <c r="O260" s="1">
        <v>199050</v>
      </c>
      <c r="P260" s="1">
        <v>0</v>
      </c>
      <c r="Q260" s="1">
        <v>80093</v>
      </c>
      <c r="R260" s="1">
        <v>0</v>
      </c>
      <c r="S260" s="1">
        <v>0</v>
      </c>
      <c r="T260" s="1">
        <v>0</v>
      </c>
      <c r="U260" s="1">
        <v>401347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58767</v>
      </c>
      <c r="AB260" s="1">
        <v>0</v>
      </c>
      <c r="AC260" s="1">
        <v>245233</v>
      </c>
      <c r="AD260" s="1">
        <v>0</v>
      </c>
      <c r="AE260" s="1">
        <f t="shared" ref="AE260:AE323" si="20">SUM(G260:AD260)</f>
        <v>3169184</v>
      </c>
      <c r="AF260" s="9">
        <f t="shared" ref="AF260:AF323" si="21">C260/AE260</f>
        <v>7.761493179316821E-2</v>
      </c>
      <c r="AG260" s="9">
        <f t="shared" ref="AG260:AG323" si="22">D260/AE260</f>
        <v>3.9170966406494546E-3</v>
      </c>
      <c r="AH260" s="9">
        <f t="shared" ref="AH260:AH323" si="23">E260/AE260</f>
        <v>3.6088153922271472E-2</v>
      </c>
      <c r="AI260" s="9">
        <f t="shared" ref="AI260:AI323" si="24">F260/AE260</f>
        <v>4.5825991801044054E-2</v>
      </c>
      <c r="AJ260" s="1" t="str">
        <f>IF(VLOOKUP(A260,Hospital!A:C,3,FALSE)="H","Hospital","Freestanding")</f>
        <v>Freestanding</v>
      </c>
      <c r="AK260" s="1">
        <v>2024</v>
      </c>
    </row>
    <row r="261" spans="1:37">
      <c r="A261" s="1">
        <v>69004</v>
      </c>
      <c r="B261" s="1" t="s">
        <v>426</v>
      </c>
      <c r="C261" s="1">
        <v>0</v>
      </c>
      <c r="D261" s="1">
        <v>0</v>
      </c>
      <c r="E261" s="1">
        <v>2271</v>
      </c>
      <c r="F261" s="1">
        <v>0</v>
      </c>
      <c r="G261" s="1">
        <v>158841</v>
      </c>
      <c r="H261" s="1">
        <v>434983</v>
      </c>
      <c r="I261" s="1">
        <v>155952</v>
      </c>
      <c r="J261" s="1">
        <v>660551</v>
      </c>
      <c r="K261" s="1">
        <v>43794</v>
      </c>
      <c r="L261" s="1">
        <v>98781</v>
      </c>
      <c r="M261" s="1">
        <v>0</v>
      </c>
      <c r="N261" s="1">
        <v>58004</v>
      </c>
      <c r="O261" s="1">
        <v>65340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f t="shared" si="20"/>
        <v>1676246</v>
      </c>
      <c r="AF261" s="9">
        <f t="shared" si="21"/>
        <v>0</v>
      </c>
      <c r="AG261" s="9">
        <f t="shared" si="22"/>
        <v>0</v>
      </c>
      <c r="AH261" s="9">
        <f t="shared" si="23"/>
        <v>1.3548130763623E-3</v>
      </c>
      <c r="AI261" s="9">
        <f t="shared" si="24"/>
        <v>0</v>
      </c>
      <c r="AJ261" s="1" t="str">
        <f>IF(VLOOKUP(A261,Hospital!A:C,3,FALSE)="H","Hospital","Freestanding")</f>
        <v>Hospital</v>
      </c>
      <c r="AK261" s="1">
        <v>2024</v>
      </c>
    </row>
    <row r="262" spans="1:37">
      <c r="A262" s="1">
        <v>69006</v>
      </c>
      <c r="B262" s="1" t="s">
        <v>427</v>
      </c>
      <c r="C262" s="1">
        <v>36824</v>
      </c>
      <c r="D262" s="1">
        <v>6848</v>
      </c>
      <c r="E262" s="1">
        <v>17134</v>
      </c>
      <c r="F262" s="1">
        <v>2206</v>
      </c>
      <c r="G262" s="1">
        <v>103057</v>
      </c>
      <c r="H262" s="1">
        <v>112785</v>
      </c>
      <c r="I262" s="1">
        <v>26288</v>
      </c>
      <c r="J262" s="1">
        <v>90779</v>
      </c>
      <c r="K262" s="1">
        <v>95468</v>
      </c>
      <c r="L262" s="1">
        <v>24708</v>
      </c>
      <c r="M262" s="1">
        <v>0</v>
      </c>
      <c r="N262" s="1">
        <v>42206</v>
      </c>
      <c r="O262" s="1">
        <v>15811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100478</v>
      </c>
      <c r="V262" s="1">
        <v>0</v>
      </c>
      <c r="W262" s="1">
        <v>14490</v>
      </c>
      <c r="X262" s="1">
        <v>0</v>
      </c>
      <c r="Y262" s="1">
        <v>77506</v>
      </c>
      <c r="Z262" s="1">
        <v>0</v>
      </c>
      <c r="AA262" s="1">
        <v>25459</v>
      </c>
      <c r="AB262" s="1">
        <v>0</v>
      </c>
      <c r="AC262" s="1">
        <v>70720</v>
      </c>
      <c r="AD262" s="1">
        <v>0</v>
      </c>
      <c r="AE262" s="1">
        <f t="shared" si="20"/>
        <v>799755</v>
      </c>
      <c r="AF262" s="9">
        <f t="shared" si="21"/>
        <v>4.6044101005933064E-2</v>
      </c>
      <c r="AG262" s="9">
        <f t="shared" si="22"/>
        <v>8.5626223030803184E-3</v>
      </c>
      <c r="AH262" s="9">
        <f t="shared" si="23"/>
        <v>2.1424061118717606E-2</v>
      </c>
      <c r="AI262" s="9">
        <f t="shared" si="24"/>
        <v>2.7583447430775676E-3</v>
      </c>
      <c r="AJ262" s="1" t="str">
        <f>IF(VLOOKUP(A262,Hospital!A:C,3,FALSE)="H","Hospital","Freestanding")</f>
        <v>Freestanding</v>
      </c>
      <c r="AK262" s="1">
        <v>2024</v>
      </c>
    </row>
    <row r="263" spans="1:37">
      <c r="A263" s="1">
        <v>69007</v>
      </c>
      <c r="B263" s="1" t="s">
        <v>428</v>
      </c>
      <c r="C263" s="1">
        <v>295374</v>
      </c>
      <c r="D263" s="1">
        <v>18689</v>
      </c>
      <c r="E263" s="1">
        <v>45389</v>
      </c>
      <c r="F263" s="1">
        <v>28640</v>
      </c>
      <c r="G263" s="1">
        <v>419161</v>
      </c>
      <c r="H263" s="1">
        <v>365560</v>
      </c>
      <c r="I263" s="1">
        <v>457954</v>
      </c>
      <c r="J263" s="1">
        <v>1250477</v>
      </c>
      <c r="K263" s="1">
        <v>373232</v>
      </c>
      <c r="L263" s="1">
        <v>93357</v>
      </c>
      <c r="M263" s="1">
        <v>0</v>
      </c>
      <c r="N263" s="1">
        <v>65993</v>
      </c>
      <c r="O263" s="1">
        <v>93291</v>
      </c>
      <c r="P263" s="1">
        <v>0</v>
      </c>
      <c r="Q263" s="1">
        <v>12094</v>
      </c>
      <c r="R263" s="1">
        <v>0</v>
      </c>
      <c r="S263" s="1">
        <v>0</v>
      </c>
      <c r="T263" s="1">
        <v>0</v>
      </c>
      <c r="U263" s="1">
        <v>384017</v>
      </c>
      <c r="V263" s="1">
        <v>0</v>
      </c>
      <c r="W263" s="1">
        <v>-204</v>
      </c>
      <c r="X263" s="1">
        <v>0</v>
      </c>
      <c r="Y263" s="1">
        <v>0</v>
      </c>
      <c r="Z263" s="1">
        <v>0</v>
      </c>
      <c r="AA263" s="1">
        <v>59768</v>
      </c>
      <c r="AB263" s="1">
        <v>0</v>
      </c>
      <c r="AC263" s="1">
        <v>240883</v>
      </c>
      <c r="AD263" s="1">
        <v>0</v>
      </c>
      <c r="AE263" s="1">
        <f t="shared" si="20"/>
        <v>3815583</v>
      </c>
      <c r="AF263" s="9">
        <f t="shared" si="21"/>
        <v>7.7412547440325635E-2</v>
      </c>
      <c r="AG263" s="9">
        <f t="shared" si="22"/>
        <v>4.8980719329130042E-3</v>
      </c>
      <c r="AH263" s="9">
        <f t="shared" si="23"/>
        <v>1.1895691955855763E-2</v>
      </c>
      <c r="AI263" s="9">
        <f t="shared" si="24"/>
        <v>7.5060613279805469E-3</v>
      </c>
      <c r="AJ263" s="1" t="str">
        <f>IF(VLOOKUP(A263,Hospital!A:C,3,FALSE)="H","Hospital","Freestanding")</f>
        <v>Freestanding</v>
      </c>
      <c r="AK263" s="1">
        <v>2024</v>
      </c>
    </row>
    <row r="264" spans="1:37">
      <c r="A264" s="1">
        <v>69008</v>
      </c>
      <c r="B264" s="1" t="s">
        <v>429</v>
      </c>
      <c r="C264" s="1">
        <v>180711</v>
      </c>
      <c r="D264" s="1">
        <v>2574</v>
      </c>
      <c r="E264" s="1">
        <v>35984</v>
      </c>
      <c r="F264" s="1">
        <v>17248</v>
      </c>
      <c r="G264" s="1">
        <v>366813</v>
      </c>
      <c r="H264" s="1">
        <v>206410</v>
      </c>
      <c r="I264" s="1">
        <v>305667</v>
      </c>
      <c r="J264" s="1">
        <v>644305</v>
      </c>
      <c r="K264" s="1">
        <v>44728</v>
      </c>
      <c r="L264" s="1">
        <v>0</v>
      </c>
      <c r="M264" s="1">
        <v>0</v>
      </c>
      <c r="N264" s="1">
        <v>50867</v>
      </c>
      <c r="O264" s="1">
        <v>75493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256316</v>
      </c>
      <c r="V264" s="1">
        <v>0</v>
      </c>
      <c r="W264" s="1">
        <v>44009</v>
      </c>
      <c r="X264" s="1">
        <v>0</v>
      </c>
      <c r="Y264" s="1">
        <v>99660</v>
      </c>
      <c r="Z264" s="1">
        <v>0</v>
      </c>
      <c r="AA264" s="1">
        <v>129101</v>
      </c>
      <c r="AB264" s="1">
        <v>0</v>
      </c>
      <c r="AC264" s="1">
        <v>175650</v>
      </c>
      <c r="AD264" s="1">
        <v>0</v>
      </c>
      <c r="AE264" s="1">
        <f t="shared" si="20"/>
        <v>2399019</v>
      </c>
      <c r="AF264" s="9">
        <f t="shared" si="21"/>
        <v>7.5327039927570394E-2</v>
      </c>
      <c r="AG264" s="9">
        <f t="shared" si="22"/>
        <v>1.0729385636378871E-3</v>
      </c>
      <c r="AH264" s="9">
        <f t="shared" si="23"/>
        <v>1.4999464364392279E-2</v>
      </c>
      <c r="AI264" s="9">
        <f t="shared" si="24"/>
        <v>7.1896054178812252E-3</v>
      </c>
      <c r="AJ264" s="1" t="str">
        <f>IF(VLOOKUP(A264,Hospital!A:C,3,FALSE)="H","Hospital","Freestanding")</f>
        <v>Freestanding</v>
      </c>
      <c r="AK264" s="1">
        <v>2024</v>
      </c>
    </row>
    <row r="265" spans="1:37">
      <c r="A265" s="1">
        <v>69009</v>
      </c>
      <c r="B265" s="1" t="s">
        <v>430</v>
      </c>
      <c r="C265" s="1">
        <v>207473</v>
      </c>
      <c r="D265" s="1">
        <v>10807</v>
      </c>
      <c r="E265" s="1">
        <v>96128</v>
      </c>
      <c r="F265" s="1">
        <v>67619</v>
      </c>
      <c r="G265" s="1">
        <v>203529</v>
      </c>
      <c r="H265" s="1">
        <v>903547</v>
      </c>
      <c r="I265" s="1">
        <v>6297</v>
      </c>
      <c r="J265" s="1">
        <v>619113</v>
      </c>
      <c r="K265" s="1">
        <v>17277</v>
      </c>
      <c r="L265" s="1">
        <v>116219</v>
      </c>
      <c r="M265" s="1">
        <v>0</v>
      </c>
      <c r="N265" s="1">
        <v>83422</v>
      </c>
      <c r="O265" s="1">
        <v>146465</v>
      </c>
      <c r="P265" s="1">
        <v>8849</v>
      </c>
      <c r="Q265" s="1">
        <v>0</v>
      </c>
      <c r="R265" s="1">
        <v>18854</v>
      </c>
      <c r="S265" s="1">
        <v>0</v>
      </c>
      <c r="T265" s="1">
        <v>0</v>
      </c>
      <c r="U265" s="1">
        <v>286716</v>
      </c>
      <c r="V265" s="1">
        <v>917</v>
      </c>
      <c r="W265" s="1">
        <v>43209</v>
      </c>
      <c r="X265" s="1">
        <v>258</v>
      </c>
      <c r="Y265" s="1">
        <v>87083</v>
      </c>
      <c r="Z265" s="1">
        <v>1946</v>
      </c>
      <c r="AA265" s="1">
        <v>32143</v>
      </c>
      <c r="AB265" s="1">
        <v>2935</v>
      </c>
      <c r="AC265" s="1">
        <v>150098</v>
      </c>
      <c r="AD265" s="1">
        <v>4240</v>
      </c>
      <c r="AE265" s="1">
        <f t="shared" si="20"/>
        <v>2733117</v>
      </c>
      <c r="AF265" s="9">
        <f t="shared" si="21"/>
        <v>7.5910764156821686E-2</v>
      </c>
      <c r="AG265" s="9">
        <f t="shared" si="22"/>
        <v>3.9540934398344454E-3</v>
      </c>
      <c r="AH265" s="9">
        <f t="shared" si="23"/>
        <v>3.5171564188433938E-2</v>
      </c>
      <c r="AI265" s="9">
        <f t="shared" si="24"/>
        <v>2.4740616665880018E-2</v>
      </c>
      <c r="AJ265" s="1" t="str">
        <f>IF(VLOOKUP(A265,Hospital!A:C,3,FALSE)="H","Hospital","Freestanding")</f>
        <v>Freestanding</v>
      </c>
      <c r="AK265" s="1">
        <v>2024</v>
      </c>
    </row>
    <row r="266" spans="1:37">
      <c r="A266" s="1">
        <v>69010</v>
      </c>
      <c r="B266" s="1" t="s">
        <v>431</v>
      </c>
      <c r="C266" s="1">
        <v>135298</v>
      </c>
      <c r="D266" s="1">
        <v>26634</v>
      </c>
      <c r="E266" s="1">
        <v>66629</v>
      </c>
      <c r="F266" s="1">
        <v>8580</v>
      </c>
      <c r="G266" s="1">
        <v>400641</v>
      </c>
      <c r="H266" s="1">
        <v>438461</v>
      </c>
      <c r="I266" s="1">
        <v>102194</v>
      </c>
      <c r="J266" s="1">
        <v>352911</v>
      </c>
      <c r="K266" s="1">
        <v>371139</v>
      </c>
      <c r="L266" s="1">
        <v>96054</v>
      </c>
      <c r="M266" s="1">
        <v>0</v>
      </c>
      <c r="N266" s="1">
        <v>164080</v>
      </c>
      <c r="O266" s="1">
        <v>61468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390618</v>
      </c>
      <c r="V266" s="1">
        <v>0</v>
      </c>
      <c r="W266" s="1">
        <v>56329</v>
      </c>
      <c r="X266" s="1">
        <v>0</v>
      </c>
      <c r="Y266" s="1">
        <v>301310</v>
      </c>
      <c r="Z266" s="1">
        <v>0</v>
      </c>
      <c r="AA266" s="1">
        <v>98971</v>
      </c>
      <c r="AB266" s="1">
        <v>0</v>
      </c>
      <c r="AC266" s="1">
        <v>274930</v>
      </c>
      <c r="AD266" s="1">
        <v>0</v>
      </c>
      <c r="AE266" s="1">
        <f t="shared" si="20"/>
        <v>3109106</v>
      </c>
      <c r="AF266" s="9">
        <f t="shared" si="21"/>
        <v>4.351668936343759E-2</v>
      </c>
      <c r="AG266" s="9">
        <f t="shared" si="22"/>
        <v>8.5664496482268544E-3</v>
      </c>
      <c r="AH266" s="9">
        <f t="shared" si="23"/>
        <v>2.1430276098659874E-2</v>
      </c>
      <c r="AI266" s="9">
        <f t="shared" si="24"/>
        <v>2.759635728083893E-3</v>
      </c>
      <c r="AJ266" s="1" t="str">
        <f>IF(VLOOKUP(A266,Hospital!A:C,3,FALSE)="H","Hospital","Freestanding")</f>
        <v>Freestanding</v>
      </c>
      <c r="AK266" s="1">
        <v>2024</v>
      </c>
    </row>
    <row r="267" spans="1:37">
      <c r="A267" s="1">
        <v>69011</v>
      </c>
      <c r="B267" s="1" t="s">
        <v>432</v>
      </c>
      <c r="C267" s="1">
        <v>208314</v>
      </c>
      <c r="D267" s="1">
        <v>16363</v>
      </c>
      <c r="E267" s="1">
        <v>133920</v>
      </c>
      <c r="F267" s="1">
        <v>55355</v>
      </c>
      <c r="G267" s="1">
        <v>306227</v>
      </c>
      <c r="H267" s="1">
        <v>37529</v>
      </c>
      <c r="I267" s="1">
        <v>538316</v>
      </c>
      <c r="J267" s="1">
        <v>806616</v>
      </c>
      <c r="K267" s="1">
        <v>106607</v>
      </c>
      <c r="L267" s="1">
        <v>56185</v>
      </c>
      <c r="M267" s="1">
        <v>0</v>
      </c>
      <c r="N267" s="1">
        <v>50050</v>
      </c>
      <c r="O267" s="1">
        <v>132963</v>
      </c>
      <c r="P267" s="1">
        <v>0</v>
      </c>
      <c r="Q267" s="1">
        <v>2077</v>
      </c>
      <c r="R267" s="1">
        <v>0</v>
      </c>
      <c r="S267" s="1">
        <v>0</v>
      </c>
      <c r="T267" s="1">
        <v>0</v>
      </c>
      <c r="U267" s="1">
        <v>347450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59108</v>
      </c>
      <c r="AB267" s="1">
        <v>0</v>
      </c>
      <c r="AC267" s="1">
        <v>238414</v>
      </c>
      <c r="AD267" s="1">
        <v>0</v>
      </c>
      <c r="AE267" s="1">
        <f t="shared" si="20"/>
        <v>2681542</v>
      </c>
      <c r="AF267" s="9">
        <f t="shared" si="21"/>
        <v>7.7684406956892715E-2</v>
      </c>
      <c r="AG267" s="9">
        <f t="shared" si="22"/>
        <v>6.1020860385554284E-3</v>
      </c>
      <c r="AH267" s="9">
        <f t="shared" si="23"/>
        <v>4.9941414305649509E-2</v>
      </c>
      <c r="AI267" s="9">
        <f t="shared" si="24"/>
        <v>2.0642973333999618E-2</v>
      </c>
      <c r="AJ267" s="1" t="str">
        <f>IF(VLOOKUP(A267,Hospital!A:C,3,FALSE)="H","Hospital","Freestanding")</f>
        <v>Freestanding</v>
      </c>
      <c r="AK267" s="1">
        <v>2024</v>
      </c>
    </row>
    <row r="268" spans="1:37">
      <c r="A268" s="1">
        <v>69015</v>
      </c>
      <c r="B268" s="1" t="s">
        <v>433</v>
      </c>
      <c r="C268" s="1">
        <v>195215</v>
      </c>
      <c r="D268" s="1">
        <v>13552</v>
      </c>
      <c r="E268" s="1">
        <v>94593</v>
      </c>
      <c r="F268" s="1">
        <v>8374</v>
      </c>
      <c r="G268" s="1">
        <v>141722</v>
      </c>
      <c r="H268" s="1">
        <v>477357</v>
      </c>
      <c r="I268" s="1">
        <v>74083</v>
      </c>
      <c r="J268" s="1">
        <v>437459</v>
      </c>
      <c r="K268" s="1">
        <v>73988</v>
      </c>
      <c r="L268" s="1">
        <v>0</v>
      </c>
      <c r="M268" s="1">
        <v>0</v>
      </c>
      <c r="N268" s="1">
        <v>25757</v>
      </c>
      <c r="O268" s="1">
        <v>73842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279837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223053</v>
      </c>
      <c r="AD268" s="1">
        <v>0</v>
      </c>
      <c r="AE268" s="1">
        <f t="shared" si="20"/>
        <v>1807098</v>
      </c>
      <c r="AF268" s="9">
        <f t="shared" si="21"/>
        <v>0.10802679212748838</v>
      </c>
      <c r="AG268" s="9">
        <f t="shared" si="22"/>
        <v>7.4993165838266656E-3</v>
      </c>
      <c r="AH268" s="9">
        <f t="shared" si="23"/>
        <v>5.2345251890046914E-2</v>
      </c>
      <c r="AI268" s="9">
        <f t="shared" si="24"/>
        <v>4.6339490166000955E-3</v>
      </c>
      <c r="AJ268" s="1" t="str">
        <f>IF(VLOOKUP(A268,Hospital!A:C,3,FALSE)="H","Hospital","Freestanding")</f>
        <v>Freestanding</v>
      </c>
      <c r="AK268" s="1">
        <v>2024</v>
      </c>
    </row>
    <row r="269" spans="1:37">
      <c r="A269" s="1">
        <v>69017</v>
      </c>
      <c r="B269" s="1" t="s">
        <v>434</v>
      </c>
      <c r="C269" s="1">
        <v>286505</v>
      </c>
      <c r="D269" s="1">
        <v>13834</v>
      </c>
      <c r="E269" s="1">
        <v>84399</v>
      </c>
      <c r="F269" s="1">
        <v>133152</v>
      </c>
      <c r="G269" s="1">
        <v>274753</v>
      </c>
      <c r="H269" s="1">
        <v>512551</v>
      </c>
      <c r="I269" s="1">
        <v>715463</v>
      </c>
      <c r="J269" s="1">
        <v>1188612</v>
      </c>
      <c r="K269" s="1">
        <v>0</v>
      </c>
      <c r="L269" s="1">
        <v>80040</v>
      </c>
      <c r="M269" s="1">
        <v>0</v>
      </c>
      <c r="N269" s="1">
        <v>69939</v>
      </c>
      <c r="O269" s="1">
        <v>132101</v>
      </c>
      <c r="P269" s="1">
        <v>0</v>
      </c>
      <c r="Q269" s="1">
        <v>0</v>
      </c>
      <c r="R269" s="1">
        <v>-26</v>
      </c>
      <c r="S269" s="1">
        <v>0</v>
      </c>
      <c r="T269" s="1">
        <v>0</v>
      </c>
      <c r="U269" s="1">
        <v>337497</v>
      </c>
      <c r="V269" s="1">
        <v>5531</v>
      </c>
      <c r="W269" s="1">
        <v>83274</v>
      </c>
      <c r="X269" s="1">
        <v>807</v>
      </c>
      <c r="Y269" s="1">
        <v>121859</v>
      </c>
      <c r="Z269" s="1">
        <v>-4101</v>
      </c>
      <c r="AA269" s="1">
        <v>53115</v>
      </c>
      <c r="AB269" s="1">
        <v>710</v>
      </c>
      <c r="AC269" s="1">
        <v>291961</v>
      </c>
      <c r="AD269" s="1">
        <v>-50596</v>
      </c>
      <c r="AE269" s="1">
        <f t="shared" si="20"/>
        <v>3813490</v>
      </c>
      <c r="AF269" s="9">
        <f t="shared" si="21"/>
        <v>7.512934346228782E-2</v>
      </c>
      <c r="AG269" s="9">
        <f t="shared" si="22"/>
        <v>3.6276481648044182E-3</v>
      </c>
      <c r="AH269" s="9">
        <f t="shared" si="23"/>
        <v>2.2131695638378492E-2</v>
      </c>
      <c r="AI269" s="9">
        <f t="shared" si="24"/>
        <v>3.4916048029495293E-2</v>
      </c>
      <c r="AJ269" s="1" t="str">
        <f>IF(VLOOKUP(A269,Hospital!A:C,3,FALSE)="H","Hospital","Freestanding")</f>
        <v>Freestanding</v>
      </c>
      <c r="AK269" s="1">
        <v>2024</v>
      </c>
    </row>
    <row r="270" spans="1:37">
      <c r="A270" s="1">
        <v>69018</v>
      </c>
      <c r="B270" s="1" t="s">
        <v>435</v>
      </c>
      <c r="C270" s="1">
        <v>0</v>
      </c>
      <c r="D270" s="1">
        <v>0</v>
      </c>
      <c r="E270" s="1">
        <v>16194</v>
      </c>
      <c r="F270" s="1">
        <v>0</v>
      </c>
      <c r="G270" s="1">
        <v>230815</v>
      </c>
      <c r="H270" s="1">
        <v>383878</v>
      </c>
      <c r="I270" s="1">
        <v>215813</v>
      </c>
      <c r="J270" s="1">
        <v>354433</v>
      </c>
      <c r="K270" s="1">
        <v>78347</v>
      </c>
      <c r="L270" s="1">
        <v>43811</v>
      </c>
      <c r="M270" s="1">
        <v>0</v>
      </c>
      <c r="N270" s="1">
        <v>82764</v>
      </c>
      <c r="O270" s="1">
        <v>73754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f t="shared" si="20"/>
        <v>1463615</v>
      </c>
      <c r="AF270" s="9">
        <f t="shared" si="21"/>
        <v>0</v>
      </c>
      <c r="AG270" s="9">
        <f t="shared" si="22"/>
        <v>0</v>
      </c>
      <c r="AH270" s="9">
        <f t="shared" si="23"/>
        <v>1.1064385101273217E-2</v>
      </c>
      <c r="AI270" s="9">
        <f t="shared" si="24"/>
        <v>0</v>
      </c>
      <c r="AJ270" s="1" t="str">
        <f>IF(VLOOKUP(A270,Hospital!A:C,3,FALSE)="H","Hospital","Freestanding")</f>
        <v>Hospital</v>
      </c>
      <c r="AK270" s="1">
        <v>2024</v>
      </c>
    </row>
    <row r="271" spans="1:37">
      <c r="A271" s="1">
        <v>69019</v>
      </c>
      <c r="B271" s="1" t="s">
        <v>436</v>
      </c>
      <c r="C271" s="1">
        <v>410971</v>
      </c>
      <c r="D271" s="1">
        <v>44832</v>
      </c>
      <c r="E271" s="1">
        <v>194435</v>
      </c>
      <c r="F271" s="1">
        <v>96205</v>
      </c>
      <c r="G271" s="1">
        <v>310713</v>
      </c>
      <c r="H271" s="1">
        <v>923122</v>
      </c>
      <c r="I271" s="1">
        <v>394666</v>
      </c>
      <c r="J271" s="1">
        <v>1707619</v>
      </c>
      <c r="K271" s="1">
        <v>249845</v>
      </c>
      <c r="L271" s="1">
        <v>228810</v>
      </c>
      <c r="M271" s="1">
        <v>0</v>
      </c>
      <c r="N271" s="1">
        <v>113419</v>
      </c>
      <c r="O271" s="1">
        <v>248623</v>
      </c>
      <c r="P271" s="1">
        <v>0</v>
      </c>
      <c r="Q271" s="1">
        <v>0</v>
      </c>
      <c r="R271" s="1">
        <v>12181</v>
      </c>
      <c r="S271" s="1">
        <v>0</v>
      </c>
      <c r="T271" s="1">
        <v>0</v>
      </c>
      <c r="U271" s="1">
        <v>472154</v>
      </c>
      <c r="V271" s="1">
        <v>4940</v>
      </c>
      <c r="W271" s="1">
        <v>89696</v>
      </c>
      <c r="X271" s="1">
        <v>401</v>
      </c>
      <c r="Y271" s="1">
        <v>243655</v>
      </c>
      <c r="Z271" s="1">
        <v>2777</v>
      </c>
      <c r="AA271" s="1">
        <v>119338</v>
      </c>
      <c r="AB271" s="1">
        <v>730</v>
      </c>
      <c r="AC271" s="1">
        <v>301994</v>
      </c>
      <c r="AD271" s="1">
        <v>-21008</v>
      </c>
      <c r="AE271" s="1">
        <f t="shared" si="20"/>
        <v>5403675</v>
      </c>
      <c r="AF271" s="9">
        <f t="shared" si="21"/>
        <v>7.6053981780917615E-2</v>
      </c>
      <c r="AG271" s="9">
        <f t="shared" si="22"/>
        <v>8.2965759413732316E-3</v>
      </c>
      <c r="AH271" s="9">
        <f t="shared" si="23"/>
        <v>3.5981993735744656E-2</v>
      </c>
      <c r="AI271" s="9">
        <f t="shared" si="24"/>
        <v>1.7803624385256331E-2</v>
      </c>
      <c r="AJ271" s="1" t="str">
        <f>IF(VLOOKUP(A271,Hospital!A:C,3,FALSE)="H","Hospital","Freestanding")</f>
        <v>Freestanding</v>
      </c>
      <c r="AK271" s="1">
        <v>2024</v>
      </c>
    </row>
    <row r="272" spans="1:37">
      <c r="A272" s="1">
        <v>69020</v>
      </c>
      <c r="B272" s="1" t="s">
        <v>437</v>
      </c>
      <c r="C272" s="1">
        <v>456400</v>
      </c>
      <c r="D272" s="1">
        <v>22154</v>
      </c>
      <c r="E272" s="1">
        <v>141868</v>
      </c>
      <c r="F272" s="1">
        <v>90131</v>
      </c>
      <c r="G272" s="1">
        <v>539044</v>
      </c>
      <c r="H272" s="1">
        <v>678415</v>
      </c>
      <c r="I272" s="1">
        <v>827006</v>
      </c>
      <c r="J272" s="1">
        <v>1332553</v>
      </c>
      <c r="K272" s="1">
        <v>396502</v>
      </c>
      <c r="L272" s="1">
        <v>313250</v>
      </c>
      <c r="M272" s="1">
        <v>0</v>
      </c>
      <c r="N272" s="1">
        <v>137941</v>
      </c>
      <c r="O272" s="1">
        <v>271037</v>
      </c>
      <c r="P272" s="1">
        <v>61397</v>
      </c>
      <c r="Q272" s="1">
        <v>1296</v>
      </c>
      <c r="R272" s="1">
        <v>-920</v>
      </c>
      <c r="S272" s="1">
        <v>0</v>
      </c>
      <c r="T272" s="1">
        <v>0</v>
      </c>
      <c r="U272" s="1">
        <v>774238</v>
      </c>
      <c r="V272" s="1">
        <v>-18519</v>
      </c>
      <c r="W272" s="1">
        <v>76643</v>
      </c>
      <c r="X272" s="1">
        <v>152</v>
      </c>
      <c r="Y272" s="1">
        <v>260897</v>
      </c>
      <c r="Z272" s="1">
        <v>915</v>
      </c>
      <c r="AA272" s="1">
        <v>89149</v>
      </c>
      <c r="AB272" s="1">
        <v>5008</v>
      </c>
      <c r="AC272" s="1">
        <v>454649</v>
      </c>
      <c r="AD272" s="1">
        <v>11224</v>
      </c>
      <c r="AE272" s="1">
        <f t="shared" si="20"/>
        <v>6211877</v>
      </c>
      <c r="AF272" s="9">
        <f t="shared" si="21"/>
        <v>7.347215664444097E-2</v>
      </c>
      <c r="AG272" s="9">
        <f t="shared" si="22"/>
        <v>3.5663938613079427E-3</v>
      </c>
      <c r="AH272" s="9">
        <f t="shared" si="23"/>
        <v>2.2838185624087536E-2</v>
      </c>
      <c r="AI272" s="9">
        <f t="shared" si="24"/>
        <v>1.4509463081770615E-2</v>
      </c>
      <c r="AJ272" s="1" t="str">
        <f>IF(VLOOKUP(A272,Hospital!A:C,3,FALSE)="H","Hospital","Freestanding")</f>
        <v>Freestanding</v>
      </c>
      <c r="AK272" s="1">
        <v>2024</v>
      </c>
    </row>
    <row r="273" spans="1:37">
      <c r="A273" s="1">
        <v>69021</v>
      </c>
      <c r="B273" s="1" t="s">
        <v>438</v>
      </c>
      <c r="C273" s="1">
        <v>225607</v>
      </c>
      <c r="D273" s="1">
        <v>17935</v>
      </c>
      <c r="E273" s="1">
        <v>21987</v>
      </c>
      <c r="F273" s="1">
        <v>23246</v>
      </c>
      <c r="G273" s="1">
        <v>252183</v>
      </c>
      <c r="H273" s="1">
        <v>438980</v>
      </c>
      <c r="I273" s="1">
        <v>211048</v>
      </c>
      <c r="J273" s="1">
        <v>571526</v>
      </c>
      <c r="K273" s="1">
        <v>305112</v>
      </c>
      <c r="L273" s="1">
        <v>88368</v>
      </c>
      <c r="M273" s="1">
        <v>0</v>
      </c>
      <c r="N273" s="1">
        <v>55243</v>
      </c>
      <c r="O273" s="1">
        <v>119591</v>
      </c>
      <c r="P273" s="1">
        <v>116945</v>
      </c>
      <c r="Q273" s="1">
        <v>0</v>
      </c>
      <c r="R273" s="1">
        <v>0</v>
      </c>
      <c r="S273" s="1">
        <v>0</v>
      </c>
      <c r="T273" s="1">
        <v>0</v>
      </c>
      <c r="U273" s="1">
        <v>333152</v>
      </c>
      <c r="V273" s="1">
        <v>0</v>
      </c>
      <c r="W273" s="1">
        <v>54596</v>
      </c>
      <c r="X273" s="1">
        <v>0</v>
      </c>
      <c r="Y273" s="1">
        <v>130721</v>
      </c>
      <c r="Z273" s="1">
        <v>0</v>
      </c>
      <c r="AA273" s="1">
        <v>111716</v>
      </c>
      <c r="AB273" s="1">
        <v>0</v>
      </c>
      <c r="AC273" s="1">
        <v>287377</v>
      </c>
      <c r="AD273" s="1">
        <v>0</v>
      </c>
      <c r="AE273" s="1">
        <f t="shared" si="20"/>
        <v>3076558</v>
      </c>
      <c r="AF273" s="9">
        <f t="shared" si="21"/>
        <v>7.3330975720269212E-2</v>
      </c>
      <c r="AG273" s="9">
        <f t="shared" si="22"/>
        <v>5.8295666780863549E-3</v>
      </c>
      <c r="AH273" s="9">
        <f t="shared" si="23"/>
        <v>7.1466229468126396E-3</v>
      </c>
      <c r="AI273" s="9">
        <f t="shared" si="24"/>
        <v>7.5558465011873657E-3</v>
      </c>
      <c r="AJ273" s="1" t="str">
        <f>IF(VLOOKUP(A273,Hospital!A:C,3,FALSE)="H","Hospital","Freestanding")</f>
        <v>Freestanding</v>
      </c>
      <c r="AK273" s="1">
        <v>2024</v>
      </c>
    </row>
    <row r="274" spans="1:37">
      <c r="A274" s="1">
        <v>69022</v>
      </c>
      <c r="B274" s="1" t="s">
        <v>439</v>
      </c>
      <c r="C274" s="1">
        <v>0</v>
      </c>
      <c r="D274" s="1">
        <v>0</v>
      </c>
      <c r="E274" s="1">
        <v>0</v>
      </c>
      <c r="F274" s="1">
        <v>0</v>
      </c>
      <c r="G274" s="1">
        <v>292230</v>
      </c>
      <c r="H274" s="1">
        <v>283963</v>
      </c>
      <c r="I274" s="1">
        <v>118658</v>
      </c>
      <c r="J274" s="1">
        <v>689673</v>
      </c>
      <c r="K274" s="1">
        <v>0</v>
      </c>
      <c r="L274" s="1">
        <v>48323</v>
      </c>
      <c r="M274" s="1">
        <v>0</v>
      </c>
      <c r="N274" s="1">
        <v>0</v>
      </c>
      <c r="O274" s="1">
        <v>127564</v>
      </c>
      <c r="P274" s="1">
        <v>47660</v>
      </c>
      <c r="Q274" s="1">
        <v>0</v>
      </c>
      <c r="R274" s="1">
        <v>-3499</v>
      </c>
      <c r="S274" s="1">
        <v>0</v>
      </c>
      <c r="T274" s="1">
        <v>0</v>
      </c>
      <c r="U274" s="1">
        <v>1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f t="shared" si="20"/>
        <v>1604573</v>
      </c>
      <c r="AF274" s="9">
        <f t="shared" si="21"/>
        <v>0</v>
      </c>
      <c r="AG274" s="9">
        <f t="shared" si="22"/>
        <v>0</v>
      </c>
      <c r="AH274" s="9">
        <f t="shared" si="23"/>
        <v>0</v>
      </c>
      <c r="AI274" s="9">
        <f t="shared" si="24"/>
        <v>0</v>
      </c>
      <c r="AJ274" s="1" t="str">
        <f>IF(VLOOKUP(A274,Hospital!A:C,3,FALSE)="H","Hospital","Freestanding")</f>
        <v>Hospital</v>
      </c>
      <c r="AK274" s="1">
        <v>2024</v>
      </c>
    </row>
    <row r="275" spans="1:37">
      <c r="A275" s="1">
        <v>70001</v>
      </c>
      <c r="B275" s="1" t="s">
        <v>440</v>
      </c>
      <c r="C275" s="1">
        <v>315456</v>
      </c>
      <c r="D275" s="1">
        <v>5627</v>
      </c>
      <c r="E275" s="1">
        <v>98700</v>
      </c>
      <c r="F275" s="1">
        <v>61809</v>
      </c>
      <c r="G275" s="1">
        <v>571240</v>
      </c>
      <c r="H275" s="1">
        <v>224037</v>
      </c>
      <c r="I275" s="1">
        <v>503939</v>
      </c>
      <c r="J275" s="1">
        <v>1343539</v>
      </c>
      <c r="K275" s="1">
        <v>419130</v>
      </c>
      <c r="L275" s="1">
        <v>138034</v>
      </c>
      <c r="M275" s="1">
        <v>0</v>
      </c>
      <c r="N275" s="1">
        <v>168131</v>
      </c>
      <c r="O275" s="1">
        <v>172384</v>
      </c>
      <c r="P275" s="1">
        <v>60484</v>
      </c>
      <c r="Q275" s="1">
        <v>0</v>
      </c>
      <c r="R275" s="1">
        <v>2735</v>
      </c>
      <c r="S275" s="1">
        <v>0</v>
      </c>
      <c r="T275" s="1">
        <v>0</v>
      </c>
      <c r="U275" s="1">
        <v>235635</v>
      </c>
      <c r="V275" s="1">
        <v>2931</v>
      </c>
      <c r="W275" s="1">
        <v>74920</v>
      </c>
      <c r="X275" s="1">
        <v>1815</v>
      </c>
      <c r="Y275" s="1">
        <v>198074</v>
      </c>
      <c r="Z275" s="1">
        <v>-1132</v>
      </c>
      <c r="AA275" s="1">
        <v>100035</v>
      </c>
      <c r="AB275" s="1">
        <v>-2153</v>
      </c>
      <c r="AC275" s="1">
        <v>308593</v>
      </c>
      <c r="AD275" s="1">
        <v>-3294</v>
      </c>
      <c r="AE275" s="1">
        <f t="shared" si="20"/>
        <v>4519077</v>
      </c>
      <c r="AF275" s="9">
        <f t="shared" si="21"/>
        <v>6.9805404953268119E-2</v>
      </c>
      <c r="AG275" s="9">
        <f t="shared" si="22"/>
        <v>1.2451657716830229E-3</v>
      </c>
      <c r="AH275" s="9">
        <f t="shared" si="23"/>
        <v>2.1840743142902855E-2</v>
      </c>
      <c r="AI275" s="9">
        <f t="shared" si="24"/>
        <v>1.3677350485508435E-2</v>
      </c>
      <c r="AJ275" s="1" t="str">
        <f>IF(VLOOKUP(A275,Hospital!A:C,3,FALSE)="H","Hospital","Freestanding")</f>
        <v>Freestanding</v>
      </c>
      <c r="AK275" s="1">
        <v>2024</v>
      </c>
    </row>
    <row r="276" spans="1:37">
      <c r="A276" s="1">
        <v>70002</v>
      </c>
      <c r="B276" s="1" t="s">
        <v>441</v>
      </c>
      <c r="C276" s="1">
        <v>207802</v>
      </c>
      <c r="D276" s="1">
        <v>11666</v>
      </c>
      <c r="E276" s="1">
        <v>32800</v>
      </c>
      <c r="F276" s="1">
        <v>30856</v>
      </c>
      <c r="G276" s="1">
        <v>442410</v>
      </c>
      <c r="H276" s="1">
        <v>168606</v>
      </c>
      <c r="I276" s="1">
        <v>285727</v>
      </c>
      <c r="J276" s="1">
        <v>825902</v>
      </c>
      <c r="K276" s="1">
        <v>50267</v>
      </c>
      <c r="L276" s="1">
        <v>65446</v>
      </c>
      <c r="M276" s="1">
        <v>0</v>
      </c>
      <c r="N276" s="1">
        <v>61800</v>
      </c>
      <c r="O276" s="1">
        <v>120870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304200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82884</v>
      </c>
      <c r="AB276" s="1">
        <v>0</v>
      </c>
      <c r="AC276" s="1">
        <v>303783</v>
      </c>
      <c r="AD276" s="1">
        <v>0</v>
      </c>
      <c r="AE276" s="1">
        <f t="shared" si="20"/>
        <v>2711895</v>
      </c>
      <c r="AF276" s="9">
        <f t="shared" si="21"/>
        <v>7.6626123061549214E-2</v>
      </c>
      <c r="AG276" s="9">
        <f t="shared" si="22"/>
        <v>4.3017889704431772E-3</v>
      </c>
      <c r="AH276" s="9">
        <f t="shared" si="23"/>
        <v>1.2094863554820522E-2</v>
      </c>
      <c r="AI276" s="9">
        <f t="shared" si="24"/>
        <v>1.1378021641693355E-2</v>
      </c>
      <c r="AJ276" s="1" t="str">
        <f>IF(VLOOKUP(A276,Hospital!A:C,3,FALSE)="H","Hospital","Freestanding")</f>
        <v>Freestanding</v>
      </c>
      <c r="AK276" s="1">
        <v>2024</v>
      </c>
    </row>
    <row r="277" spans="1:37">
      <c r="A277" s="1">
        <v>70003</v>
      </c>
      <c r="B277" s="1" t="s">
        <v>442</v>
      </c>
      <c r="C277" s="1">
        <v>525441</v>
      </c>
      <c r="D277" s="1">
        <v>3092</v>
      </c>
      <c r="E277" s="1">
        <v>30461</v>
      </c>
      <c r="F277" s="1">
        <v>94337</v>
      </c>
      <c r="G277" s="1">
        <v>444586</v>
      </c>
      <c r="H277" s="1">
        <v>1536703</v>
      </c>
      <c r="I277" s="1">
        <v>1018452</v>
      </c>
      <c r="J277" s="1">
        <v>1877960</v>
      </c>
      <c r="K277" s="1">
        <v>141088</v>
      </c>
      <c r="L277" s="1">
        <v>367992</v>
      </c>
      <c r="M277" s="1">
        <v>0</v>
      </c>
      <c r="N277" s="1">
        <v>167193</v>
      </c>
      <c r="O277" s="1">
        <v>232409</v>
      </c>
      <c r="P277" s="1">
        <v>72882</v>
      </c>
      <c r="Q277" s="1">
        <v>0</v>
      </c>
      <c r="R277" s="1">
        <v>84758</v>
      </c>
      <c r="S277" s="1">
        <v>0</v>
      </c>
      <c r="T277" s="1">
        <v>0</v>
      </c>
      <c r="U277" s="1">
        <v>0</v>
      </c>
      <c r="V277" s="1">
        <v>0</v>
      </c>
      <c r="W277" s="1">
        <v>45534</v>
      </c>
      <c r="X277" s="1">
        <v>0</v>
      </c>
      <c r="Y277" s="1">
        <v>407910</v>
      </c>
      <c r="Z277" s="1">
        <v>10247</v>
      </c>
      <c r="AA277" s="1">
        <v>117123</v>
      </c>
      <c r="AB277" s="1">
        <v>1956</v>
      </c>
      <c r="AC277" s="1">
        <v>520279</v>
      </c>
      <c r="AD277" s="1">
        <v>-3828</v>
      </c>
      <c r="AE277" s="1">
        <f t="shared" si="20"/>
        <v>7043244</v>
      </c>
      <c r="AF277" s="9">
        <f t="shared" si="21"/>
        <v>7.4602129359709821E-2</v>
      </c>
      <c r="AG277" s="9">
        <f t="shared" si="22"/>
        <v>4.3900225521080911E-4</v>
      </c>
      <c r="AH277" s="9">
        <f t="shared" si="23"/>
        <v>4.3248537179742747E-3</v>
      </c>
      <c r="AI277" s="9">
        <f t="shared" si="24"/>
        <v>1.339397016488425E-2</v>
      </c>
      <c r="AJ277" s="1" t="str">
        <f>IF(VLOOKUP(A277,Hospital!A:C,3,FALSE)="H","Hospital","Freestanding")</f>
        <v>Freestanding</v>
      </c>
      <c r="AK277" s="1">
        <v>2024</v>
      </c>
    </row>
    <row r="278" spans="1:37">
      <c r="A278" s="1">
        <v>70004</v>
      </c>
      <c r="B278" s="1" t="s">
        <v>443</v>
      </c>
      <c r="C278" s="1">
        <v>333800</v>
      </c>
      <c r="D278" s="1">
        <v>10868</v>
      </c>
      <c r="E278" s="1">
        <v>76264</v>
      </c>
      <c r="F278" s="1">
        <v>75468</v>
      </c>
      <c r="G278" s="1">
        <v>366680</v>
      </c>
      <c r="H278" s="1">
        <v>118569</v>
      </c>
      <c r="I278" s="1">
        <v>739230</v>
      </c>
      <c r="J278" s="1">
        <v>1478390</v>
      </c>
      <c r="K278" s="1">
        <v>239013</v>
      </c>
      <c r="L278" s="1">
        <v>192954</v>
      </c>
      <c r="M278" s="1">
        <v>0</v>
      </c>
      <c r="N278" s="1">
        <v>63427</v>
      </c>
      <c r="O278" s="1">
        <v>192373</v>
      </c>
      <c r="P278" s="1">
        <v>0</v>
      </c>
      <c r="Q278" s="1">
        <v>0</v>
      </c>
      <c r="R278" s="1">
        <v>-7580</v>
      </c>
      <c r="S278" s="1">
        <v>0</v>
      </c>
      <c r="T278" s="1">
        <v>0</v>
      </c>
      <c r="U278" s="1">
        <v>391587</v>
      </c>
      <c r="V278" s="1">
        <v>-2739</v>
      </c>
      <c r="W278" s="1">
        <v>41841</v>
      </c>
      <c r="X278" s="1">
        <v>-753</v>
      </c>
      <c r="Y278" s="1">
        <v>151403</v>
      </c>
      <c r="Z278" s="1">
        <v>4308</v>
      </c>
      <c r="AA278" s="1">
        <v>141106</v>
      </c>
      <c r="AB278" s="1">
        <v>1731</v>
      </c>
      <c r="AC278" s="1">
        <v>369100</v>
      </c>
      <c r="AD278" s="1">
        <v>-1961</v>
      </c>
      <c r="AE278" s="1">
        <f t="shared" si="20"/>
        <v>4478679</v>
      </c>
      <c r="AF278" s="9">
        <f t="shared" si="21"/>
        <v>7.4530905206646875E-2</v>
      </c>
      <c r="AG278" s="9">
        <f t="shared" si="22"/>
        <v>2.4266083816232419E-3</v>
      </c>
      <c r="AH278" s="9">
        <f t="shared" si="23"/>
        <v>1.7028235334570752E-2</v>
      </c>
      <c r="AI278" s="9">
        <f t="shared" si="24"/>
        <v>1.6850504356306847E-2</v>
      </c>
      <c r="AJ278" s="1" t="str">
        <f>IF(VLOOKUP(A278,Hospital!A:C,3,FALSE)="H","Hospital","Freestanding")</f>
        <v>Freestanding</v>
      </c>
      <c r="AK278" s="1">
        <v>2024</v>
      </c>
    </row>
    <row r="279" spans="1:37">
      <c r="A279" s="1">
        <v>71001</v>
      </c>
      <c r="B279" s="1" t="s">
        <v>444</v>
      </c>
      <c r="C279" s="1">
        <v>627822</v>
      </c>
      <c r="D279" s="1">
        <v>0</v>
      </c>
      <c r="E279" s="1">
        <v>254478</v>
      </c>
      <c r="F279" s="1">
        <v>234711</v>
      </c>
      <c r="G279" s="1">
        <v>446241</v>
      </c>
      <c r="H279" s="1">
        <v>1705114</v>
      </c>
      <c r="I279" s="1">
        <v>1056398</v>
      </c>
      <c r="J279" s="1">
        <v>2708063</v>
      </c>
      <c r="K279" s="1">
        <v>58251</v>
      </c>
      <c r="L279" s="1">
        <v>222238</v>
      </c>
      <c r="M279" s="1">
        <v>0</v>
      </c>
      <c r="N279" s="1">
        <v>296523</v>
      </c>
      <c r="O279" s="1">
        <v>304287</v>
      </c>
      <c r="P279" s="1">
        <v>37442</v>
      </c>
      <c r="Q279" s="1">
        <v>98690</v>
      </c>
      <c r="R279" s="1">
        <v>0</v>
      </c>
      <c r="S279" s="1">
        <v>0</v>
      </c>
      <c r="T279" s="1">
        <v>0</v>
      </c>
      <c r="U279" s="1">
        <v>749624</v>
      </c>
      <c r="V279" s="1">
        <v>0</v>
      </c>
      <c r="W279" s="1">
        <v>109319</v>
      </c>
      <c r="X279" s="1">
        <v>0</v>
      </c>
      <c r="Y279" s="1">
        <v>180253</v>
      </c>
      <c r="Z279" s="1">
        <v>0</v>
      </c>
      <c r="AA279" s="1">
        <v>256584</v>
      </c>
      <c r="AB279" s="1">
        <v>0</v>
      </c>
      <c r="AC279" s="1">
        <v>328832</v>
      </c>
      <c r="AD279" s="1">
        <v>0</v>
      </c>
      <c r="AE279" s="1">
        <f t="shared" si="20"/>
        <v>8557859</v>
      </c>
      <c r="AF279" s="9">
        <f t="shared" si="21"/>
        <v>7.3362040669284215E-2</v>
      </c>
      <c r="AG279" s="9">
        <f t="shared" si="22"/>
        <v>0</v>
      </c>
      <c r="AH279" s="9">
        <f t="shared" si="23"/>
        <v>2.9736175835568219E-2</v>
      </c>
      <c r="AI279" s="9">
        <f t="shared" si="24"/>
        <v>2.7426369142095001E-2</v>
      </c>
      <c r="AJ279" s="1" t="str">
        <f>IF(VLOOKUP(A279,Hospital!A:C,3,FALSE)="H","Hospital","Freestanding")</f>
        <v>Freestanding</v>
      </c>
      <c r="AK279" s="1">
        <v>2024</v>
      </c>
    </row>
    <row r="280" spans="1:37">
      <c r="A280" s="1">
        <v>71002</v>
      </c>
      <c r="B280" s="1" t="s">
        <v>445</v>
      </c>
      <c r="C280" s="1">
        <v>345517</v>
      </c>
      <c r="D280" s="1">
        <v>32593</v>
      </c>
      <c r="E280" s="1">
        <v>25879</v>
      </c>
      <c r="F280" s="1">
        <v>1394</v>
      </c>
      <c r="G280" s="1">
        <v>414634</v>
      </c>
      <c r="H280" s="1">
        <v>403432</v>
      </c>
      <c r="I280" s="1">
        <v>742710</v>
      </c>
      <c r="J280" s="1">
        <v>1414614</v>
      </c>
      <c r="K280" s="1">
        <v>45521</v>
      </c>
      <c r="L280" s="1">
        <v>108269</v>
      </c>
      <c r="M280" s="1">
        <v>0</v>
      </c>
      <c r="N280" s="1">
        <v>174155</v>
      </c>
      <c r="O280" s="1">
        <v>139704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335428</v>
      </c>
      <c r="V280" s="1">
        <v>0</v>
      </c>
      <c r="W280" s="1">
        <v>71299</v>
      </c>
      <c r="X280" s="1">
        <v>0</v>
      </c>
      <c r="Y280" s="1">
        <v>123854</v>
      </c>
      <c r="Z280" s="1">
        <v>0</v>
      </c>
      <c r="AA280" s="1">
        <v>81782</v>
      </c>
      <c r="AB280" s="1">
        <v>0</v>
      </c>
      <c r="AC280" s="1">
        <v>321656</v>
      </c>
      <c r="AD280" s="1">
        <v>0</v>
      </c>
      <c r="AE280" s="1">
        <f t="shared" si="20"/>
        <v>4377058</v>
      </c>
      <c r="AF280" s="9">
        <f t="shared" si="21"/>
        <v>7.8938181765012022E-2</v>
      </c>
      <c r="AG280" s="9">
        <f t="shared" si="22"/>
        <v>7.4463258197629547E-3</v>
      </c>
      <c r="AH280" s="9">
        <f t="shared" si="23"/>
        <v>5.9124187981973277E-3</v>
      </c>
      <c r="AI280" s="9">
        <f t="shared" si="24"/>
        <v>3.1847875902032827E-4</v>
      </c>
      <c r="AJ280" s="1" t="str">
        <f>IF(VLOOKUP(A280,Hospital!A:C,3,FALSE)="H","Hospital","Freestanding")</f>
        <v>Freestanding</v>
      </c>
      <c r="AK280" s="1">
        <v>2024</v>
      </c>
    </row>
    <row r="281" spans="1:37">
      <c r="A281" s="1">
        <v>71004</v>
      </c>
      <c r="B281" s="1" t="s">
        <v>446</v>
      </c>
      <c r="C281" s="1">
        <v>291226</v>
      </c>
      <c r="D281" s="1">
        <v>49106</v>
      </c>
      <c r="E281" s="1">
        <v>12966</v>
      </c>
      <c r="F281" s="1">
        <v>159547</v>
      </c>
      <c r="G281" s="1">
        <v>220326</v>
      </c>
      <c r="H281" s="1">
        <v>843389</v>
      </c>
      <c r="I281" s="1">
        <v>215558</v>
      </c>
      <c r="J281" s="1">
        <v>773327</v>
      </c>
      <c r="K281" s="1">
        <v>22057</v>
      </c>
      <c r="L281" s="1">
        <v>176660</v>
      </c>
      <c r="M281" s="1">
        <v>0</v>
      </c>
      <c r="N281" s="1">
        <v>253982</v>
      </c>
      <c r="O281" s="1">
        <v>255860</v>
      </c>
      <c r="P281" s="1">
        <v>120865</v>
      </c>
      <c r="Q281" s="1">
        <v>0</v>
      </c>
      <c r="R281" s="1">
        <v>-104886</v>
      </c>
      <c r="S281" s="1">
        <v>0</v>
      </c>
      <c r="T281" s="1">
        <v>0</v>
      </c>
      <c r="U281" s="1">
        <v>507624</v>
      </c>
      <c r="V281" s="1">
        <v>-9077</v>
      </c>
      <c r="W281" s="1">
        <v>187127</v>
      </c>
      <c r="X281" s="1">
        <v>-13633</v>
      </c>
      <c r="Y281" s="1">
        <v>430308</v>
      </c>
      <c r="Z281" s="1">
        <v>-24124</v>
      </c>
      <c r="AA281" s="1">
        <v>246342</v>
      </c>
      <c r="AB281" s="1">
        <v>-14369</v>
      </c>
      <c r="AC281" s="1">
        <v>440835</v>
      </c>
      <c r="AD281" s="1">
        <v>-1134</v>
      </c>
      <c r="AE281" s="1">
        <f t="shared" si="20"/>
        <v>4527037</v>
      </c>
      <c r="AF281" s="9">
        <f t="shared" si="21"/>
        <v>6.4330377684123197E-2</v>
      </c>
      <c r="AG281" s="9">
        <f t="shared" si="22"/>
        <v>1.0847271626010567E-2</v>
      </c>
      <c r="AH281" s="9">
        <f t="shared" si="23"/>
        <v>2.8641250336588812E-3</v>
      </c>
      <c r="AI281" s="9">
        <f t="shared" si="24"/>
        <v>3.524314027033576E-2</v>
      </c>
      <c r="AJ281" s="1" t="str">
        <f>IF(VLOOKUP(A281,Hospital!A:C,3,FALSE)="H","Hospital","Freestanding")</f>
        <v>Freestanding</v>
      </c>
      <c r="AK281" s="1">
        <v>2024</v>
      </c>
    </row>
    <row r="282" spans="1:37">
      <c r="A282" s="1">
        <v>72001</v>
      </c>
      <c r="B282" s="1" t="s">
        <v>447</v>
      </c>
      <c r="C282" s="1">
        <v>122178</v>
      </c>
      <c r="D282" s="1">
        <v>10325</v>
      </c>
      <c r="E282" s="1">
        <v>19151</v>
      </c>
      <c r="F282" s="1">
        <v>8705</v>
      </c>
      <c r="G282" s="1">
        <v>204644</v>
      </c>
      <c r="H282" s="1">
        <v>71913</v>
      </c>
      <c r="I282" s="1">
        <v>223089</v>
      </c>
      <c r="J282" s="1">
        <v>301724</v>
      </c>
      <c r="K282" s="1">
        <v>95842</v>
      </c>
      <c r="L282" s="1">
        <v>68356</v>
      </c>
      <c r="M282" s="1">
        <v>0</v>
      </c>
      <c r="N282" s="1">
        <v>44379</v>
      </c>
      <c r="O282" s="1">
        <v>63376</v>
      </c>
      <c r="P282" s="1">
        <v>0</v>
      </c>
      <c r="Q282" s="1">
        <v>812</v>
      </c>
      <c r="R282" s="1">
        <v>0</v>
      </c>
      <c r="S282" s="1">
        <v>0</v>
      </c>
      <c r="T282" s="1">
        <v>0</v>
      </c>
      <c r="U282" s="1">
        <v>154600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102622</v>
      </c>
      <c r="AB282" s="1">
        <v>0</v>
      </c>
      <c r="AC282" s="1">
        <v>268257</v>
      </c>
      <c r="AD282" s="1">
        <v>0</v>
      </c>
      <c r="AE282" s="1">
        <f t="shared" si="20"/>
        <v>1599614</v>
      </c>
      <c r="AF282" s="9">
        <f t="shared" si="21"/>
        <v>7.6379676596979015E-2</v>
      </c>
      <c r="AG282" s="9">
        <f t="shared" si="22"/>
        <v>6.4546821920788387E-3</v>
      </c>
      <c r="AH282" s="9">
        <f t="shared" si="23"/>
        <v>1.1972263308523181E-2</v>
      </c>
      <c r="AI282" s="9">
        <f t="shared" si="24"/>
        <v>5.4419378675105365E-3</v>
      </c>
      <c r="AJ282" s="1" t="str">
        <f>IF(VLOOKUP(A282,Hospital!A:C,3,FALSE)="H","Hospital","Freestanding")</f>
        <v>Freestanding</v>
      </c>
      <c r="AK282" s="1">
        <v>2024</v>
      </c>
    </row>
    <row r="283" spans="1:37">
      <c r="A283" s="1">
        <v>73001</v>
      </c>
      <c r="B283" s="1" t="s">
        <v>448</v>
      </c>
      <c r="C283" s="1">
        <v>128261</v>
      </c>
      <c r="D283" s="1">
        <v>6525</v>
      </c>
      <c r="E283" s="1">
        <v>59973</v>
      </c>
      <c r="F283" s="1">
        <v>17388</v>
      </c>
      <c r="G283" s="1">
        <v>92106</v>
      </c>
      <c r="H283" s="1">
        <v>248069</v>
      </c>
      <c r="I283" s="1">
        <v>142800</v>
      </c>
      <c r="J283" s="1">
        <v>202234</v>
      </c>
      <c r="K283" s="1">
        <v>253673</v>
      </c>
      <c r="L283" s="1">
        <v>0</v>
      </c>
      <c r="M283" s="1">
        <v>0</v>
      </c>
      <c r="N283" s="1">
        <v>49437</v>
      </c>
      <c r="O283" s="1">
        <v>137787</v>
      </c>
      <c r="P283" s="1">
        <v>5558</v>
      </c>
      <c r="Q283" s="1">
        <v>0</v>
      </c>
      <c r="R283" s="1">
        <v>0</v>
      </c>
      <c r="S283" s="1">
        <v>0</v>
      </c>
      <c r="T283" s="1">
        <v>0</v>
      </c>
      <c r="U283" s="1">
        <v>202462</v>
      </c>
      <c r="V283" s="1">
        <v>0</v>
      </c>
      <c r="W283" s="1">
        <v>34693</v>
      </c>
      <c r="X283" s="1">
        <v>0</v>
      </c>
      <c r="Y283" s="1">
        <v>78265</v>
      </c>
      <c r="Z283" s="1">
        <v>0</v>
      </c>
      <c r="AA283" s="1">
        <v>51513</v>
      </c>
      <c r="AB283" s="1">
        <v>0</v>
      </c>
      <c r="AC283" s="1">
        <v>108067</v>
      </c>
      <c r="AD283" s="1">
        <v>0</v>
      </c>
      <c r="AE283" s="1">
        <f t="shared" si="20"/>
        <v>1606664</v>
      </c>
      <c r="AF283" s="9">
        <f t="shared" si="21"/>
        <v>7.9830630424282858E-2</v>
      </c>
      <c r="AG283" s="9">
        <f t="shared" si="22"/>
        <v>4.0612100600996848E-3</v>
      </c>
      <c r="AH283" s="9">
        <f t="shared" si="23"/>
        <v>3.7327655315610483E-2</v>
      </c>
      <c r="AI283" s="9">
        <f t="shared" si="24"/>
        <v>1.0822424601534609E-2</v>
      </c>
      <c r="AJ283" s="1" t="str">
        <f>IF(VLOOKUP(A283,Hospital!A:C,3,FALSE)="H","Hospital","Freestanding")</f>
        <v>Freestanding</v>
      </c>
      <c r="AK283" s="1">
        <v>2024</v>
      </c>
    </row>
    <row r="284" spans="1:37">
      <c r="A284" s="1">
        <v>73002</v>
      </c>
      <c r="B284" s="1" t="s">
        <v>449</v>
      </c>
      <c r="C284" s="1">
        <v>371773</v>
      </c>
      <c r="D284" s="1">
        <v>36489</v>
      </c>
      <c r="E284" s="1">
        <v>35641</v>
      </c>
      <c r="F284" s="1">
        <v>47847</v>
      </c>
      <c r="G284" s="1">
        <v>601502</v>
      </c>
      <c r="H284" s="1">
        <v>294434</v>
      </c>
      <c r="I284" s="1">
        <v>649152</v>
      </c>
      <c r="J284" s="1">
        <v>1365477</v>
      </c>
      <c r="K284" s="1">
        <v>100819</v>
      </c>
      <c r="L284" s="1">
        <v>193483</v>
      </c>
      <c r="M284" s="1">
        <v>0</v>
      </c>
      <c r="N284" s="1">
        <v>132230</v>
      </c>
      <c r="O284" s="1">
        <v>234799</v>
      </c>
      <c r="P284" s="1">
        <v>42426</v>
      </c>
      <c r="Q284" s="1">
        <v>78003</v>
      </c>
      <c r="R284" s="1">
        <v>0</v>
      </c>
      <c r="S284" s="1">
        <v>0</v>
      </c>
      <c r="T284" s="1">
        <v>0</v>
      </c>
      <c r="U284" s="1">
        <v>341188</v>
      </c>
      <c r="V284" s="1">
        <v>0</v>
      </c>
      <c r="W284" s="1">
        <v>40070</v>
      </c>
      <c r="X284" s="1">
        <v>0</v>
      </c>
      <c r="Y284" s="1">
        <v>307350</v>
      </c>
      <c r="Z284" s="1">
        <v>0</v>
      </c>
      <c r="AA284" s="1">
        <v>183847</v>
      </c>
      <c r="AB284" s="1">
        <v>0</v>
      </c>
      <c r="AC284" s="1">
        <v>388993</v>
      </c>
      <c r="AD284" s="1">
        <v>0</v>
      </c>
      <c r="AE284" s="1">
        <f t="shared" si="20"/>
        <v>4953773</v>
      </c>
      <c r="AF284" s="9">
        <f t="shared" si="21"/>
        <v>7.5048452967061668E-2</v>
      </c>
      <c r="AG284" s="9">
        <f t="shared" si="22"/>
        <v>7.3659006983162129E-3</v>
      </c>
      <c r="AH284" s="9">
        <f t="shared" si="23"/>
        <v>7.1947180462245642E-3</v>
      </c>
      <c r="AI284" s="9">
        <f t="shared" si="24"/>
        <v>9.6586985314022263E-3</v>
      </c>
      <c r="AJ284" s="1" t="str">
        <f>IF(VLOOKUP(A284,Hospital!A:C,3,FALSE)="H","Hospital","Freestanding")</f>
        <v>Freestanding</v>
      </c>
      <c r="AK284" s="1">
        <v>2024</v>
      </c>
    </row>
    <row r="285" spans="1:37">
      <c r="A285" s="1">
        <v>73003</v>
      </c>
      <c r="B285" s="1" t="s">
        <v>450</v>
      </c>
      <c r="C285" s="1">
        <v>342079</v>
      </c>
      <c r="D285" s="1">
        <v>10407</v>
      </c>
      <c r="E285" s="1">
        <v>124790</v>
      </c>
      <c r="F285" s="1">
        <v>36722</v>
      </c>
      <c r="G285" s="1">
        <v>424511</v>
      </c>
      <c r="H285" s="1">
        <v>93415</v>
      </c>
      <c r="I285" s="1">
        <v>658848</v>
      </c>
      <c r="J285" s="1">
        <v>1645899</v>
      </c>
      <c r="K285" s="1">
        <v>240771</v>
      </c>
      <c r="L285" s="1">
        <v>90318</v>
      </c>
      <c r="M285" s="1">
        <v>0</v>
      </c>
      <c r="N285" s="1">
        <v>104169</v>
      </c>
      <c r="O285" s="1">
        <v>249192</v>
      </c>
      <c r="P285" s="1">
        <v>0</v>
      </c>
      <c r="Q285" s="1">
        <v>0</v>
      </c>
      <c r="R285" s="1">
        <v>29</v>
      </c>
      <c r="S285" s="1">
        <v>0</v>
      </c>
      <c r="T285" s="1">
        <v>0</v>
      </c>
      <c r="U285" s="1">
        <v>436410</v>
      </c>
      <c r="V285" s="1">
        <v>486</v>
      </c>
      <c r="W285" s="1">
        <v>53705</v>
      </c>
      <c r="X285" s="1">
        <v>407</v>
      </c>
      <c r="Y285" s="1">
        <v>192357</v>
      </c>
      <c r="Z285" s="1">
        <v>-2637</v>
      </c>
      <c r="AA285" s="1">
        <v>110041</v>
      </c>
      <c r="AB285" s="1">
        <v>-4167</v>
      </c>
      <c r="AC285" s="1">
        <v>290023</v>
      </c>
      <c r="AD285" s="1">
        <v>2395</v>
      </c>
      <c r="AE285" s="1">
        <f t="shared" si="20"/>
        <v>4586172</v>
      </c>
      <c r="AF285" s="9">
        <f t="shared" si="21"/>
        <v>7.4589221686408622E-2</v>
      </c>
      <c r="AG285" s="9">
        <f t="shared" si="22"/>
        <v>2.2692127552128441E-3</v>
      </c>
      <c r="AH285" s="9">
        <f t="shared" si="23"/>
        <v>2.7210056665995082E-2</v>
      </c>
      <c r="AI285" s="9">
        <f t="shared" si="24"/>
        <v>8.0071135578866203E-3</v>
      </c>
      <c r="AJ285" s="1" t="str">
        <f>IF(VLOOKUP(A285,Hospital!A:C,3,FALSE)="H","Hospital","Freestanding")</f>
        <v>Freestanding</v>
      </c>
      <c r="AK285" s="1">
        <v>2024</v>
      </c>
    </row>
    <row r="286" spans="1:37">
      <c r="A286" s="1">
        <v>73004</v>
      </c>
      <c r="B286" s="1" t="s">
        <v>451</v>
      </c>
      <c r="C286" s="1">
        <v>209540</v>
      </c>
      <c r="D286" s="1">
        <v>0</v>
      </c>
      <c r="E286" s="1">
        <v>40774</v>
      </c>
      <c r="F286" s="1">
        <v>56391</v>
      </c>
      <c r="G286" s="1">
        <v>246601</v>
      </c>
      <c r="H286" s="1">
        <v>234541</v>
      </c>
      <c r="I286" s="1">
        <v>500501</v>
      </c>
      <c r="J286" s="1">
        <v>934434</v>
      </c>
      <c r="K286" s="1">
        <v>13612</v>
      </c>
      <c r="L286" s="1">
        <v>44206</v>
      </c>
      <c r="M286" s="1">
        <v>0</v>
      </c>
      <c r="N286" s="1">
        <v>95350</v>
      </c>
      <c r="O286" s="1">
        <v>198360</v>
      </c>
      <c r="P286" s="1">
        <v>0</v>
      </c>
      <c r="Q286" s="1">
        <v>0</v>
      </c>
      <c r="R286" s="1">
        <v>-33312</v>
      </c>
      <c r="S286" s="1">
        <v>0</v>
      </c>
      <c r="T286" s="1">
        <v>0</v>
      </c>
      <c r="U286" s="1">
        <v>306800</v>
      </c>
      <c r="V286" s="1">
        <v>-2952</v>
      </c>
      <c r="W286" s="1">
        <v>32489</v>
      </c>
      <c r="X286" s="1">
        <v>447</v>
      </c>
      <c r="Y286" s="1">
        <v>186703</v>
      </c>
      <c r="Z286" s="1">
        <v>-897</v>
      </c>
      <c r="AA286" s="1">
        <v>138714</v>
      </c>
      <c r="AB286" s="1">
        <v>1052</v>
      </c>
      <c r="AC286" s="1">
        <v>228137</v>
      </c>
      <c r="AD286" s="1">
        <v>2792</v>
      </c>
      <c r="AE286" s="1">
        <f t="shared" si="20"/>
        <v>3127578</v>
      </c>
      <c r="AF286" s="9">
        <f t="shared" si="21"/>
        <v>6.6997529717883933E-2</v>
      </c>
      <c r="AG286" s="9">
        <f t="shared" si="22"/>
        <v>0</v>
      </c>
      <c r="AH286" s="9">
        <f t="shared" si="23"/>
        <v>1.3036925058303901E-2</v>
      </c>
      <c r="AI286" s="9">
        <f t="shared" si="24"/>
        <v>1.8030245768450859E-2</v>
      </c>
      <c r="AJ286" s="1" t="str">
        <f>IF(VLOOKUP(A286,Hospital!A:C,3,FALSE)="H","Hospital","Freestanding")</f>
        <v>Hospital</v>
      </c>
      <c r="AK286" s="1">
        <v>2024</v>
      </c>
    </row>
    <row r="287" spans="1:37">
      <c r="A287" s="1">
        <v>73005</v>
      </c>
      <c r="B287" s="1" t="s">
        <v>452</v>
      </c>
      <c r="C287" s="1">
        <v>365562</v>
      </c>
      <c r="D287" s="1">
        <v>76111</v>
      </c>
      <c r="E287" s="1">
        <v>87198</v>
      </c>
      <c r="F287" s="1">
        <v>92125</v>
      </c>
      <c r="G287" s="1">
        <v>130083</v>
      </c>
      <c r="H287" s="1">
        <v>779719</v>
      </c>
      <c r="I287" s="1">
        <v>463645</v>
      </c>
      <c r="J287" s="1">
        <v>1530152</v>
      </c>
      <c r="K287" s="1">
        <v>10040</v>
      </c>
      <c r="L287" s="1">
        <v>54697</v>
      </c>
      <c r="M287" s="1">
        <v>0</v>
      </c>
      <c r="N287" s="1">
        <v>141213</v>
      </c>
      <c r="O287" s="1">
        <v>311821</v>
      </c>
      <c r="P287" s="1">
        <v>0</v>
      </c>
      <c r="Q287" s="1">
        <v>0</v>
      </c>
      <c r="R287" s="1">
        <v>-3014</v>
      </c>
      <c r="S287" s="1">
        <v>0</v>
      </c>
      <c r="T287" s="1">
        <v>0</v>
      </c>
      <c r="U287" s="1">
        <v>771949</v>
      </c>
      <c r="V287" s="1">
        <v>0</v>
      </c>
      <c r="W287" s="1">
        <v>9851</v>
      </c>
      <c r="X287" s="1">
        <v>0</v>
      </c>
      <c r="Y287" s="1">
        <v>341970</v>
      </c>
      <c r="Z287" s="1">
        <v>17441</v>
      </c>
      <c r="AA287" s="1">
        <v>20373</v>
      </c>
      <c r="AB287" s="1">
        <v>336</v>
      </c>
      <c r="AC287" s="1">
        <v>108370</v>
      </c>
      <c r="AD287" s="1">
        <v>3332</v>
      </c>
      <c r="AE287" s="1">
        <f t="shared" si="20"/>
        <v>4691978</v>
      </c>
      <c r="AF287" s="9">
        <f t="shared" si="21"/>
        <v>7.7912130022775042E-2</v>
      </c>
      <c r="AG287" s="9">
        <f t="shared" si="22"/>
        <v>1.6221516810181122E-2</v>
      </c>
      <c r="AH287" s="9">
        <f t="shared" si="23"/>
        <v>1.8584486116516318E-2</v>
      </c>
      <c r="AI287" s="9">
        <f t="shared" si="24"/>
        <v>1.9634576291704692E-2</v>
      </c>
      <c r="AJ287" s="1" t="str">
        <f>IF(VLOOKUP(A287,Hospital!A:C,3,FALSE)="H","Hospital","Freestanding")</f>
        <v>Hospital</v>
      </c>
      <c r="AK287" s="1">
        <v>2024</v>
      </c>
    </row>
    <row r="288" spans="1:37">
      <c r="A288" s="1">
        <v>73006</v>
      </c>
      <c r="B288" s="1" t="s">
        <v>453</v>
      </c>
      <c r="C288" s="1">
        <v>166363</v>
      </c>
      <c r="D288" s="1">
        <v>10290</v>
      </c>
      <c r="E288" s="1">
        <v>53234</v>
      </c>
      <c r="F288" s="1">
        <v>0</v>
      </c>
      <c r="G288" s="1">
        <v>192019</v>
      </c>
      <c r="H288" s="1">
        <v>393920</v>
      </c>
      <c r="I288" s="1">
        <v>136328</v>
      </c>
      <c r="J288" s="1">
        <v>927512</v>
      </c>
      <c r="K288" s="1">
        <v>21735</v>
      </c>
      <c r="L288" s="1">
        <v>41639</v>
      </c>
      <c r="M288" s="1">
        <v>0</v>
      </c>
      <c r="N288" s="1">
        <v>57949</v>
      </c>
      <c r="O288" s="1">
        <v>64790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131017</v>
      </c>
      <c r="AB288" s="1">
        <v>0</v>
      </c>
      <c r="AC288" s="1">
        <v>248975</v>
      </c>
      <c r="AD288" s="1">
        <v>0</v>
      </c>
      <c r="AE288" s="1">
        <f t="shared" si="20"/>
        <v>2215884</v>
      </c>
      <c r="AF288" s="9">
        <f t="shared" si="21"/>
        <v>7.5077486005585128E-2</v>
      </c>
      <c r="AG288" s="9">
        <f t="shared" si="22"/>
        <v>4.6437448891728994E-3</v>
      </c>
      <c r="AH288" s="9">
        <f t="shared" si="23"/>
        <v>2.4023820741518962E-2</v>
      </c>
      <c r="AI288" s="9">
        <f t="shared" si="24"/>
        <v>0</v>
      </c>
      <c r="AJ288" s="1" t="str">
        <f>IF(VLOOKUP(A288,Hospital!A:C,3,FALSE)="H","Hospital","Freestanding")</f>
        <v>Freestanding</v>
      </c>
      <c r="AK288" s="1">
        <v>2024</v>
      </c>
    </row>
    <row r="289" spans="1:37">
      <c r="A289" s="1">
        <v>73007</v>
      </c>
      <c r="B289" s="1" t="s">
        <v>454</v>
      </c>
      <c r="C289" s="1">
        <v>363571</v>
      </c>
      <c r="D289" s="1">
        <v>15910</v>
      </c>
      <c r="E289" s="1">
        <v>77554</v>
      </c>
      <c r="F289" s="1">
        <v>88714</v>
      </c>
      <c r="G289" s="1">
        <v>93846</v>
      </c>
      <c r="H289" s="1">
        <v>665567</v>
      </c>
      <c r="I289" s="1">
        <v>349384</v>
      </c>
      <c r="J289" s="1">
        <v>1397931</v>
      </c>
      <c r="K289" s="1">
        <v>0</v>
      </c>
      <c r="L289" s="1">
        <v>61446</v>
      </c>
      <c r="M289" s="1">
        <v>0</v>
      </c>
      <c r="N289" s="1">
        <v>63250</v>
      </c>
      <c r="O289" s="1">
        <v>446128</v>
      </c>
      <c r="P289" s="1">
        <v>0</v>
      </c>
      <c r="Q289" s="1">
        <v>0</v>
      </c>
      <c r="R289" s="1">
        <v>12814</v>
      </c>
      <c r="S289" s="1">
        <v>2379</v>
      </c>
      <c r="T289" s="1">
        <v>0</v>
      </c>
      <c r="U289" s="1">
        <v>724356</v>
      </c>
      <c r="V289" s="1">
        <v>0</v>
      </c>
      <c r="W289" s="1">
        <v>0</v>
      </c>
      <c r="X289" s="1">
        <v>0</v>
      </c>
      <c r="Y289" s="1">
        <v>136933</v>
      </c>
      <c r="Z289" s="1">
        <v>707</v>
      </c>
      <c r="AA289" s="1">
        <v>34485</v>
      </c>
      <c r="AB289" s="1">
        <v>510</v>
      </c>
      <c r="AC289" s="1">
        <v>249025</v>
      </c>
      <c r="AD289" s="1">
        <v>2408</v>
      </c>
      <c r="AE289" s="1">
        <f t="shared" si="20"/>
        <v>4241169</v>
      </c>
      <c r="AF289" s="9">
        <f t="shared" si="21"/>
        <v>8.5724242537847467E-2</v>
      </c>
      <c r="AG289" s="9">
        <f t="shared" si="22"/>
        <v>3.7513242221661057E-3</v>
      </c>
      <c r="AH289" s="9">
        <f t="shared" si="23"/>
        <v>1.828599614870334E-2</v>
      </c>
      <c r="AI289" s="9">
        <f t="shared" si="24"/>
        <v>2.0917346137350339E-2</v>
      </c>
      <c r="AJ289" s="1" t="str">
        <f>IF(VLOOKUP(A289,Hospital!A:C,3,FALSE)="H","Hospital","Freestanding")</f>
        <v>Hospital</v>
      </c>
      <c r="AK289" s="1">
        <v>2024</v>
      </c>
    </row>
    <row r="290" spans="1:37">
      <c r="A290" s="1">
        <v>73009</v>
      </c>
      <c r="B290" s="1" t="s">
        <v>455</v>
      </c>
      <c r="C290" s="1">
        <v>153135</v>
      </c>
      <c r="D290" s="1">
        <v>19570</v>
      </c>
      <c r="E290" s="1">
        <v>7890</v>
      </c>
      <c r="F290" s="1">
        <v>61483</v>
      </c>
      <c r="G290" s="1">
        <v>175955</v>
      </c>
      <c r="H290" s="1">
        <v>701877</v>
      </c>
      <c r="I290" s="1">
        <v>70677</v>
      </c>
      <c r="J290" s="1">
        <v>408063</v>
      </c>
      <c r="K290" s="1">
        <v>0</v>
      </c>
      <c r="L290" s="1">
        <v>47507</v>
      </c>
      <c r="M290" s="1">
        <v>0</v>
      </c>
      <c r="N290" s="1">
        <v>54099</v>
      </c>
      <c r="O290" s="1">
        <v>13304</v>
      </c>
      <c r="P290" s="1">
        <v>8800</v>
      </c>
      <c r="Q290" s="1">
        <v>0</v>
      </c>
      <c r="R290" s="1">
        <v>-85813</v>
      </c>
      <c r="S290" s="1">
        <v>0</v>
      </c>
      <c r="T290" s="1">
        <v>0</v>
      </c>
      <c r="U290" s="1">
        <v>205560</v>
      </c>
      <c r="V290" s="1">
        <v>3511</v>
      </c>
      <c r="W290" s="1">
        <v>1493</v>
      </c>
      <c r="X290" s="1">
        <v>0</v>
      </c>
      <c r="Y290" s="1">
        <v>126826</v>
      </c>
      <c r="Z290" s="1">
        <v>-4696</v>
      </c>
      <c r="AA290" s="1">
        <v>96278</v>
      </c>
      <c r="AB290" s="1">
        <v>2354</v>
      </c>
      <c r="AC290" s="1">
        <v>289218</v>
      </c>
      <c r="AD290" s="1">
        <v>8813</v>
      </c>
      <c r="AE290" s="1">
        <f t="shared" si="20"/>
        <v>2123826</v>
      </c>
      <c r="AF290" s="9">
        <f t="shared" si="21"/>
        <v>7.2103364399908471E-2</v>
      </c>
      <c r="AG290" s="9">
        <f t="shared" si="22"/>
        <v>9.214502506325847E-3</v>
      </c>
      <c r="AH290" s="9">
        <f t="shared" si="23"/>
        <v>3.7149936011707176E-3</v>
      </c>
      <c r="AI290" s="9">
        <f t="shared" si="24"/>
        <v>2.8949170035586721E-2</v>
      </c>
      <c r="AJ290" s="1" t="str">
        <f>IF(VLOOKUP(A290,Hospital!A:C,3,FALSE)="H","Hospital","Freestanding")</f>
        <v>Freestanding</v>
      </c>
      <c r="AK290" s="1">
        <v>2024</v>
      </c>
    </row>
    <row r="291" spans="1:37">
      <c r="A291" s="1">
        <v>74001</v>
      </c>
      <c r="B291" s="1" t="s">
        <v>456</v>
      </c>
      <c r="C291" s="1">
        <v>218047</v>
      </c>
      <c r="D291" s="1">
        <v>13494</v>
      </c>
      <c r="E291" s="1">
        <v>38447</v>
      </c>
      <c r="F291" s="1">
        <v>34288</v>
      </c>
      <c r="G291" s="1">
        <v>263291</v>
      </c>
      <c r="H291" s="1">
        <v>293569</v>
      </c>
      <c r="I291" s="1">
        <v>382447</v>
      </c>
      <c r="J291" s="1">
        <v>879607</v>
      </c>
      <c r="K291" s="1">
        <v>73655</v>
      </c>
      <c r="L291" s="1">
        <v>80382</v>
      </c>
      <c r="M291" s="1">
        <v>0</v>
      </c>
      <c r="N291" s="1">
        <v>83163</v>
      </c>
      <c r="O291" s="1">
        <v>136129</v>
      </c>
      <c r="P291" s="1">
        <v>0</v>
      </c>
      <c r="Q291" s="1">
        <v>0</v>
      </c>
      <c r="R291" s="1">
        <v>-704</v>
      </c>
      <c r="S291" s="1">
        <v>0</v>
      </c>
      <c r="T291" s="1">
        <v>0</v>
      </c>
      <c r="U291" s="1">
        <v>263535</v>
      </c>
      <c r="V291" s="1">
        <v>0</v>
      </c>
      <c r="W291" s="1">
        <v>24963</v>
      </c>
      <c r="X291" s="1">
        <v>0</v>
      </c>
      <c r="Y291" s="1">
        <v>107697</v>
      </c>
      <c r="Z291" s="1">
        <v>0</v>
      </c>
      <c r="AA291" s="1">
        <v>196312</v>
      </c>
      <c r="AB291" s="1">
        <v>0</v>
      </c>
      <c r="AC291" s="1">
        <v>199512</v>
      </c>
      <c r="AD291" s="1">
        <v>0</v>
      </c>
      <c r="AE291" s="1">
        <f t="shared" si="20"/>
        <v>2983558</v>
      </c>
      <c r="AF291" s="9">
        <f t="shared" si="21"/>
        <v>7.3082876216919529E-2</v>
      </c>
      <c r="AG291" s="9">
        <f t="shared" si="22"/>
        <v>4.5227878928447178E-3</v>
      </c>
      <c r="AH291" s="9">
        <f t="shared" si="23"/>
        <v>1.2886292138446781E-2</v>
      </c>
      <c r="AI291" s="9">
        <f t="shared" si="24"/>
        <v>1.1492318902464774E-2</v>
      </c>
      <c r="AJ291" s="1" t="str">
        <f>IF(VLOOKUP(A291,Hospital!A:C,3,FALSE)="H","Hospital","Freestanding")</f>
        <v>Freestanding</v>
      </c>
      <c r="AK291" s="1">
        <v>2024</v>
      </c>
    </row>
    <row r="292" spans="1:37">
      <c r="A292" s="1">
        <v>74003</v>
      </c>
      <c r="B292" s="1" t="s">
        <v>457</v>
      </c>
      <c r="C292" s="1">
        <v>345060</v>
      </c>
      <c r="D292" s="1">
        <v>3995</v>
      </c>
      <c r="E292" s="1">
        <v>130577</v>
      </c>
      <c r="F292" s="1">
        <v>67244</v>
      </c>
      <c r="G292" s="1">
        <v>438253</v>
      </c>
      <c r="H292" s="1">
        <v>417306</v>
      </c>
      <c r="I292" s="1">
        <v>514993</v>
      </c>
      <c r="J292" s="1">
        <v>1606612</v>
      </c>
      <c r="K292" s="1">
        <v>8797</v>
      </c>
      <c r="L292" s="1">
        <v>155609</v>
      </c>
      <c r="M292" s="1">
        <v>0</v>
      </c>
      <c r="N292" s="1">
        <v>106696</v>
      </c>
      <c r="O292" s="1">
        <v>120767</v>
      </c>
      <c r="P292" s="1">
        <v>16223</v>
      </c>
      <c r="Q292" s="1">
        <v>11291</v>
      </c>
      <c r="R292" s="1">
        <v>24708</v>
      </c>
      <c r="S292" s="1">
        <v>0</v>
      </c>
      <c r="T292" s="1">
        <v>0</v>
      </c>
      <c r="U292" s="1">
        <v>521578</v>
      </c>
      <c r="V292" s="1">
        <v>3558</v>
      </c>
      <c r="W292" s="1">
        <v>20638</v>
      </c>
      <c r="X292" s="1">
        <v>-411</v>
      </c>
      <c r="Y292" s="1">
        <v>225319</v>
      </c>
      <c r="Z292" s="1">
        <v>1550</v>
      </c>
      <c r="AA292" s="1">
        <v>72140</v>
      </c>
      <c r="AB292" s="1">
        <v>5030</v>
      </c>
      <c r="AC292" s="1">
        <v>363663</v>
      </c>
      <c r="AD292" s="1">
        <v>-127</v>
      </c>
      <c r="AE292" s="1">
        <f t="shared" si="20"/>
        <v>4634193</v>
      </c>
      <c r="AF292" s="9">
        <f t="shared" si="21"/>
        <v>7.4459566099210797E-2</v>
      </c>
      <c r="AG292" s="9">
        <f t="shared" si="22"/>
        <v>8.6207026768198903E-4</v>
      </c>
      <c r="AH292" s="9">
        <f t="shared" si="23"/>
        <v>2.8176858408788759E-2</v>
      </c>
      <c r="AI292" s="9">
        <f t="shared" si="24"/>
        <v>1.4510401271591408E-2</v>
      </c>
      <c r="AJ292" s="1" t="str">
        <f>IF(VLOOKUP(A292,Hospital!A:C,3,FALSE)="H","Hospital","Freestanding")</f>
        <v>Freestanding</v>
      </c>
      <c r="AK292" s="1">
        <v>2024</v>
      </c>
    </row>
    <row r="293" spans="1:37">
      <c r="A293" s="1">
        <v>75001</v>
      </c>
      <c r="B293" s="1" t="s">
        <v>458</v>
      </c>
      <c r="C293" s="1">
        <v>271579</v>
      </c>
      <c r="D293" s="1">
        <v>5254</v>
      </c>
      <c r="E293" s="1">
        <v>129007</v>
      </c>
      <c r="F293" s="1">
        <v>96840</v>
      </c>
      <c r="G293" s="1">
        <v>182738</v>
      </c>
      <c r="H293" s="1">
        <v>520480</v>
      </c>
      <c r="I293" s="1">
        <v>506743</v>
      </c>
      <c r="J293" s="1">
        <v>1083990</v>
      </c>
      <c r="K293" s="1">
        <v>862</v>
      </c>
      <c r="L293" s="1">
        <v>60280</v>
      </c>
      <c r="M293" s="1">
        <v>0</v>
      </c>
      <c r="N293" s="1">
        <v>64614</v>
      </c>
      <c r="O293" s="1">
        <v>173107</v>
      </c>
      <c r="P293" s="1">
        <v>1377</v>
      </c>
      <c r="Q293" s="1">
        <v>0</v>
      </c>
      <c r="R293" s="1">
        <v>2464</v>
      </c>
      <c r="S293" s="1">
        <v>0</v>
      </c>
      <c r="T293" s="1">
        <v>0</v>
      </c>
      <c r="U293" s="1">
        <v>419346</v>
      </c>
      <c r="V293" s="1">
        <v>4540</v>
      </c>
      <c r="W293" s="1">
        <v>39992</v>
      </c>
      <c r="X293" s="1">
        <v>-991</v>
      </c>
      <c r="Y293" s="1">
        <v>100137</v>
      </c>
      <c r="Z293" s="1">
        <v>129</v>
      </c>
      <c r="AA293" s="1">
        <v>110804</v>
      </c>
      <c r="AB293" s="1">
        <v>-136</v>
      </c>
      <c r="AC293" s="1">
        <v>257352</v>
      </c>
      <c r="AD293" s="1">
        <v>-23182</v>
      </c>
      <c r="AE293" s="1">
        <f t="shared" si="20"/>
        <v>3504646</v>
      </c>
      <c r="AF293" s="9">
        <f t="shared" si="21"/>
        <v>7.7491136051972151E-2</v>
      </c>
      <c r="AG293" s="9">
        <f t="shared" si="22"/>
        <v>1.4991528388316538E-3</v>
      </c>
      <c r="AH293" s="9">
        <f t="shared" si="23"/>
        <v>3.6810279839961012E-2</v>
      </c>
      <c r="AI293" s="9">
        <f t="shared" si="24"/>
        <v>2.7631892065560971E-2</v>
      </c>
      <c r="AJ293" s="1" t="str">
        <f>IF(VLOOKUP(A293,Hospital!A:C,3,FALSE)="H","Hospital","Freestanding")</f>
        <v>Freestanding</v>
      </c>
      <c r="AK293" s="1">
        <v>2024</v>
      </c>
    </row>
    <row r="294" spans="1:37">
      <c r="A294" s="1">
        <v>76001</v>
      </c>
      <c r="B294" s="1" t="s">
        <v>459</v>
      </c>
      <c r="C294" s="1">
        <v>0</v>
      </c>
      <c r="D294" s="1">
        <v>0</v>
      </c>
      <c r="E294" s="1">
        <v>0</v>
      </c>
      <c r="F294" s="1">
        <v>0</v>
      </c>
      <c r="G294" s="1">
        <v>368917</v>
      </c>
      <c r="H294" s="1">
        <v>127980</v>
      </c>
      <c r="I294" s="1">
        <v>164964</v>
      </c>
      <c r="J294" s="1">
        <v>906759</v>
      </c>
      <c r="K294" s="1">
        <v>188851</v>
      </c>
      <c r="L294" s="1">
        <v>41850</v>
      </c>
      <c r="M294" s="1">
        <v>0</v>
      </c>
      <c r="N294" s="1">
        <v>55583</v>
      </c>
      <c r="O294" s="1">
        <v>156508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82962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f t="shared" si="20"/>
        <v>2094374</v>
      </c>
      <c r="AF294" s="9">
        <f t="shared" si="21"/>
        <v>0</v>
      </c>
      <c r="AG294" s="9">
        <f t="shared" si="22"/>
        <v>0</v>
      </c>
      <c r="AH294" s="9">
        <f t="shared" si="23"/>
        <v>0</v>
      </c>
      <c r="AI294" s="9">
        <f t="shared" si="24"/>
        <v>0</v>
      </c>
      <c r="AJ294" s="1" t="str">
        <f>IF(VLOOKUP(A294,Hospital!A:C,3,FALSE)="H","Hospital","Freestanding")</f>
        <v>Hospital</v>
      </c>
      <c r="AK294" s="1">
        <v>2024</v>
      </c>
    </row>
    <row r="295" spans="1:37">
      <c r="A295" s="1">
        <v>77001</v>
      </c>
      <c r="B295" s="1" t="s">
        <v>460</v>
      </c>
      <c r="C295" s="1">
        <v>327044</v>
      </c>
      <c r="D295" s="1">
        <v>62926</v>
      </c>
      <c r="E295" s="1">
        <v>44959</v>
      </c>
      <c r="F295" s="1">
        <v>33958</v>
      </c>
      <c r="G295" s="1">
        <v>115757</v>
      </c>
      <c r="H295" s="1">
        <v>645781</v>
      </c>
      <c r="I295" s="1">
        <v>247721</v>
      </c>
      <c r="J295" s="1">
        <v>1095683</v>
      </c>
      <c r="K295" s="1">
        <v>0</v>
      </c>
      <c r="L295" s="1">
        <v>52784</v>
      </c>
      <c r="M295" s="1">
        <v>0</v>
      </c>
      <c r="N295" s="1">
        <v>56322</v>
      </c>
      <c r="O295" s="1">
        <v>222829</v>
      </c>
      <c r="P295" s="1">
        <v>0</v>
      </c>
      <c r="Q295" s="1">
        <v>0</v>
      </c>
      <c r="R295" s="1">
        <v>13440</v>
      </c>
      <c r="S295" s="1">
        <v>0</v>
      </c>
      <c r="T295" s="1">
        <v>0</v>
      </c>
      <c r="U295" s="1">
        <v>640744</v>
      </c>
      <c r="V295" s="1">
        <v>0</v>
      </c>
      <c r="W295" s="1">
        <v>47505</v>
      </c>
      <c r="X295" s="1">
        <v>162</v>
      </c>
      <c r="Y295" s="1">
        <v>200218</v>
      </c>
      <c r="Z295" s="1">
        <v>1129</v>
      </c>
      <c r="AA295" s="1">
        <v>13926</v>
      </c>
      <c r="AB295" s="1">
        <v>1165</v>
      </c>
      <c r="AC295" s="1">
        <v>163168</v>
      </c>
      <c r="AD295" s="1">
        <v>6952</v>
      </c>
      <c r="AE295" s="1">
        <f t="shared" si="20"/>
        <v>3525286</v>
      </c>
      <c r="AF295" s="9">
        <f t="shared" si="21"/>
        <v>9.2770912771332592E-2</v>
      </c>
      <c r="AG295" s="9">
        <f t="shared" si="22"/>
        <v>1.7849899270584002E-2</v>
      </c>
      <c r="AH295" s="9">
        <f t="shared" si="23"/>
        <v>1.2753291505994123E-2</v>
      </c>
      <c r="AI295" s="9">
        <f t="shared" si="24"/>
        <v>9.6326936310982998E-3</v>
      </c>
      <c r="AJ295" s="1" t="str">
        <f>IF(VLOOKUP(A295,Hospital!A:C,3,FALSE)="H","Hospital","Freestanding")</f>
        <v>Hospital</v>
      </c>
      <c r="AK295" s="1">
        <v>2024</v>
      </c>
    </row>
    <row r="296" spans="1:37">
      <c r="A296" s="1">
        <v>77002</v>
      </c>
      <c r="B296" s="1" t="s">
        <v>461</v>
      </c>
      <c r="C296" s="1">
        <v>281682</v>
      </c>
      <c r="D296" s="1">
        <v>0</v>
      </c>
      <c r="E296" s="1">
        <v>58831</v>
      </c>
      <c r="F296" s="1">
        <v>82774</v>
      </c>
      <c r="G296" s="1">
        <v>112239</v>
      </c>
      <c r="H296" s="1">
        <v>399881</v>
      </c>
      <c r="I296" s="1">
        <v>417479</v>
      </c>
      <c r="J296" s="1">
        <v>864452</v>
      </c>
      <c r="K296" s="1">
        <v>127113</v>
      </c>
      <c r="L296" s="1">
        <v>59870</v>
      </c>
      <c r="M296" s="1">
        <v>0</v>
      </c>
      <c r="N296" s="1">
        <v>79163</v>
      </c>
      <c r="O296" s="1">
        <v>151500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259682</v>
      </c>
      <c r="V296" s="1">
        <v>0</v>
      </c>
      <c r="W296" s="1">
        <v>91765</v>
      </c>
      <c r="X296" s="1">
        <v>0</v>
      </c>
      <c r="Y296" s="1">
        <v>124319</v>
      </c>
      <c r="Z296" s="1">
        <v>0</v>
      </c>
      <c r="AA296" s="1">
        <v>131520</v>
      </c>
      <c r="AB296" s="1">
        <v>0</v>
      </c>
      <c r="AC296" s="1">
        <v>281449</v>
      </c>
      <c r="AD296" s="1">
        <v>0</v>
      </c>
      <c r="AE296" s="1">
        <f t="shared" si="20"/>
        <v>3100432</v>
      </c>
      <c r="AF296" s="9">
        <f t="shared" si="21"/>
        <v>9.0852500554761406E-2</v>
      </c>
      <c r="AG296" s="9">
        <f t="shared" si="22"/>
        <v>0</v>
      </c>
      <c r="AH296" s="9">
        <f t="shared" si="23"/>
        <v>1.8975097663809431E-2</v>
      </c>
      <c r="AI296" s="9">
        <f t="shared" si="24"/>
        <v>2.6697569887035096E-2</v>
      </c>
      <c r="AJ296" s="1" t="str">
        <f>IF(VLOOKUP(A296,Hospital!A:C,3,FALSE)="H","Hospital","Freestanding")</f>
        <v>Freestanding</v>
      </c>
      <c r="AK296" s="1">
        <v>2024</v>
      </c>
    </row>
    <row r="297" spans="1:37">
      <c r="A297" s="1">
        <v>78001</v>
      </c>
      <c r="B297" s="1" t="s">
        <v>462</v>
      </c>
      <c r="C297" s="1">
        <v>156628</v>
      </c>
      <c r="D297" s="1">
        <v>1643</v>
      </c>
      <c r="E297" s="1">
        <v>58208</v>
      </c>
      <c r="F297" s="1">
        <v>76214</v>
      </c>
      <c r="G297" s="1">
        <v>198769</v>
      </c>
      <c r="H297" s="1">
        <v>193400</v>
      </c>
      <c r="I297" s="1">
        <v>285419</v>
      </c>
      <c r="J297" s="1">
        <v>519018</v>
      </c>
      <c r="K297" s="1">
        <v>123602</v>
      </c>
      <c r="L297" s="1">
        <v>34536</v>
      </c>
      <c r="M297" s="1">
        <v>0</v>
      </c>
      <c r="N297" s="1">
        <v>4410</v>
      </c>
      <c r="O297" s="1">
        <v>129196</v>
      </c>
      <c r="P297" s="1">
        <v>0</v>
      </c>
      <c r="Q297" s="1">
        <v>0</v>
      </c>
      <c r="R297" s="1">
        <v>24231</v>
      </c>
      <c r="S297" s="1">
        <v>0</v>
      </c>
      <c r="T297" s="1">
        <v>0</v>
      </c>
      <c r="U297" s="1">
        <v>261699</v>
      </c>
      <c r="V297" s="1">
        <v>4206</v>
      </c>
      <c r="W297" s="1">
        <v>68549</v>
      </c>
      <c r="X297" s="1">
        <v>-349</v>
      </c>
      <c r="Y297" s="1">
        <v>53802</v>
      </c>
      <c r="Z297" s="1">
        <v>1436</v>
      </c>
      <c r="AA297" s="1">
        <v>43334</v>
      </c>
      <c r="AB297" s="1">
        <v>138</v>
      </c>
      <c r="AC297" s="1">
        <v>155542</v>
      </c>
      <c r="AD297" s="1">
        <v>9077</v>
      </c>
      <c r="AE297" s="1">
        <f t="shared" si="20"/>
        <v>2110015</v>
      </c>
      <c r="AF297" s="9">
        <f t="shared" si="21"/>
        <v>7.4230751914085916E-2</v>
      </c>
      <c r="AG297" s="9">
        <f t="shared" si="22"/>
        <v>7.7866745023139647E-4</v>
      </c>
      <c r="AH297" s="9">
        <f t="shared" si="23"/>
        <v>2.7586533745020771E-2</v>
      </c>
      <c r="AI297" s="9">
        <f t="shared" si="24"/>
        <v>3.6120122368798323E-2</v>
      </c>
      <c r="AJ297" s="1" t="str">
        <f>IF(VLOOKUP(A297,Hospital!A:C,3,FALSE)="H","Hospital","Freestanding")</f>
        <v>Freestanding</v>
      </c>
      <c r="AK297" s="1">
        <v>2024</v>
      </c>
    </row>
    <row r="298" spans="1:37">
      <c r="A298" s="1">
        <v>78002</v>
      </c>
      <c r="B298" s="1" t="s">
        <v>463</v>
      </c>
      <c r="C298" s="1">
        <v>19270</v>
      </c>
      <c r="D298" s="1">
        <v>2899</v>
      </c>
      <c r="E298" s="1">
        <v>33737</v>
      </c>
      <c r="F298" s="1">
        <v>753</v>
      </c>
      <c r="G298" s="1">
        <v>159166</v>
      </c>
      <c r="H298" s="1">
        <v>85511</v>
      </c>
      <c r="I298" s="1">
        <v>200976</v>
      </c>
      <c r="J298" s="1">
        <v>360038</v>
      </c>
      <c r="K298" s="1">
        <v>92574</v>
      </c>
      <c r="L298" s="1">
        <v>8511</v>
      </c>
      <c r="M298" s="1">
        <v>0</v>
      </c>
      <c r="N298" s="1">
        <v>39744</v>
      </c>
      <c r="O298" s="1">
        <v>71180</v>
      </c>
      <c r="P298" s="1">
        <v>0</v>
      </c>
      <c r="Q298" s="1">
        <v>0</v>
      </c>
      <c r="R298" s="1">
        <v>23332</v>
      </c>
      <c r="S298" s="1">
        <v>0</v>
      </c>
      <c r="T298" s="1">
        <v>0</v>
      </c>
      <c r="U298" s="1">
        <v>187024</v>
      </c>
      <c r="V298" s="1">
        <v>6310</v>
      </c>
      <c r="W298" s="1">
        <v>29030</v>
      </c>
      <c r="X298" s="1">
        <v>1399</v>
      </c>
      <c r="Y298" s="1">
        <v>83276</v>
      </c>
      <c r="Z298" s="1">
        <v>2567</v>
      </c>
      <c r="AA298" s="1">
        <v>76720</v>
      </c>
      <c r="AB298" s="1">
        <v>4777</v>
      </c>
      <c r="AC298" s="1">
        <v>148489</v>
      </c>
      <c r="AD298" s="1">
        <v>3866</v>
      </c>
      <c r="AE298" s="1">
        <f t="shared" si="20"/>
        <v>1584490</v>
      </c>
      <c r="AF298" s="9">
        <f t="shared" si="21"/>
        <v>1.2161641916326389E-2</v>
      </c>
      <c r="AG298" s="9">
        <f t="shared" si="22"/>
        <v>1.8296107895916036E-3</v>
      </c>
      <c r="AH298" s="9">
        <f t="shared" si="23"/>
        <v>2.1292024563108636E-2</v>
      </c>
      <c r="AI298" s="9">
        <f t="shared" si="24"/>
        <v>4.7523177804845721E-4</v>
      </c>
      <c r="AJ298" s="1" t="str">
        <f>IF(VLOOKUP(A298,Hospital!A:C,3,FALSE)="H","Hospital","Freestanding")</f>
        <v>Freestanding</v>
      </c>
      <c r="AK298" s="1">
        <v>2024</v>
      </c>
    </row>
    <row r="299" spans="1:37">
      <c r="A299" s="1">
        <v>79002</v>
      </c>
      <c r="B299" s="1" t="s">
        <v>464</v>
      </c>
      <c r="C299" s="1">
        <v>162234</v>
      </c>
      <c r="D299" s="1">
        <v>10634</v>
      </c>
      <c r="E299" s="1">
        <v>17381</v>
      </c>
      <c r="F299" s="1">
        <v>11165</v>
      </c>
      <c r="G299" s="1">
        <v>222699</v>
      </c>
      <c r="H299" s="1">
        <v>548899</v>
      </c>
      <c r="I299" s="1">
        <v>178871</v>
      </c>
      <c r="J299" s="1">
        <v>584744</v>
      </c>
      <c r="K299" s="1">
        <v>0</v>
      </c>
      <c r="L299" s="1">
        <v>67373</v>
      </c>
      <c r="M299" s="1">
        <v>0</v>
      </c>
      <c r="N299" s="1">
        <v>21639</v>
      </c>
      <c r="O299" s="1">
        <v>96358</v>
      </c>
      <c r="P299" s="1">
        <v>0</v>
      </c>
      <c r="Q299" s="1">
        <v>3737</v>
      </c>
      <c r="R299" s="1">
        <v>0</v>
      </c>
      <c r="S299" s="1">
        <v>0</v>
      </c>
      <c r="T299" s="1">
        <v>0</v>
      </c>
      <c r="U299" s="1">
        <v>212714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43963</v>
      </c>
      <c r="AB299" s="1">
        <v>0</v>
      </c>
      <c r="AC299" s="1">
        <v>219366</v>
      </c>
      <c r="AD299" s="1">
        <v>0</v>
      </c>
      <c r="AE299" s="1">
        <f t="shared" si="20"/>
        <v>2200363</v>
      </c>
      <c r="AF299" s="9">
        <f t="shared" si="21"/>
        <v>7.3730561730041819E-2</v>
      </c>
      <c r="AG299" s="9">
        <f t="shared" si="22"/>
        <v>4.8328389452104038E-3</v>
      </c>
      <c r="AH299" s="9">
        <f t="shared" si="23"/>
        <v>7.8991511855089364E-3</v>
      </c>
      <c r="AI299" s="9">
        <f t="shared" si="24"/>
        <v>5.074162763144081E-3</v>
      </c>
      <c r="AJ299" s="1" t="str">
        <f>IF(VLOOKUP(A299,Hospital!A:C,3,FALSE)="H","Hospital","Freestanding")</f>
        <v>Freestanding</v>
      </c>
      <c r="AK299" s="1">
        <v>2024</v>
      </c>
    </row>
    <row r="300" spans="1:37">
      <c r="A300" s="1">
        <v>79003</v>
      </c>
      <c r="B300" s="1" t="s">
        <v>465</v>
      </c>
      <c r="C300" s="1">
        <v>0</v>
      </c>
      <c r="D300" s="1">
        <v>0</v>
      </c>
      <c r="E300" s="1">
        <v>0</v>
      </c>
      <c r="F300" s="1">
        <v>0</v>
      </c>
      <c r="G300" s="1">
        <v>335293</v>
      </c>
      <c r="H300" s="1">
        <v>547371</v>
      </c>
      <c r="I300" s="1">
        <v>1071139</v>
      </c>
      <c r="J300" s="1">
        <v>1990216</v>
      </c>
      <c r="K300" s="1">
        <v>43511</v>
      </c>
      <c r="L300" s="1">
        <v>47632</v>
      </c>
      <c r="M300" s="1">
        <v>0</v>
      </c>
      <c r="N300" s="1">
        <v>164382</v>
      </c>
      <c r="O300" s="1">
        <v>297117</v>
      </c>
      <c r="P300" s="1">
        <v>10815</v>
      </c>
      <c r="Q300" s="1">
        <v>0</v>
      </c>
      <c r="R300" s="1">
        <v>19563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f t="shared" si="20"/>
        <v>4527039</v>
      </c>
      <c r="AF300" s="9">
        <f t="shared" si="21"/>
        <v>0</v>
      </c>
      <c r="AG300" s="9">
        <f t="shared" si="22"/>
        <v>0</v>
      </c>
      <c r="AH300" s="9">
        <f t="shared" si="23"/>
        <v>0</v>
      </c>
      <c r="AI300" s="9">
        <f t="shared" si="24"/>
        <v>0</v>
      </c>
      <c r="AJ300" s="1" t="str">
        <f>IF(VLOOKUP(A300,Hospital!A:C,3,FALSE)="H","Hospital","Freestanding")</f>
        <v>Hospital</v>
      </c>
      <c r="AK300" s="1">
        <v>2024</v>
      </c>
    </row>
    <row r="301" spans="1:37">
      <c r="A301" s="1">
        <v>80001</v>
      </c>
      <c r="B301" s="1" t="s">
        <v>466</v>
      </c>
      <c r="C301" s="1">
        <v>0</v>
      </c>
      <c r="D301" s="1">
        <v>0</v>
      </c>
      <c r="E301" s="1">
        <v>0</v>
      </c>
      <c r="F301" s="1">
        <v>0</v>
      </c>
      <c r="G301" s="1">
        <v>124260</v>
      </c>
      <c r="H301" s="1">
        <v>1226230</v>
      </c>
      <c r="I301" s="1">
        <v>571551</v>
      </c>
      <c r="J301" s="1">
        <v>1838045</v>
      </c>
      <c r="K301" s="1">
        <v>384197</v>
      </c>
      <c r="L301" s="1">
        <v>90471</v>
      </c>
      <c r="M301" s="1">
        <v>0</v>
      </c>
      <c r="N301" s="1">
        <v>490509</v>
      </c>
      <c r="O301" s="1">
        <v>217981</v>
      </c>
      <c r="P301" s="1">
        <v>170546</v>
      </c>
      <c r="Q301" s="1">
        <v>0</v>
      </c>
      <c r="R301" s="1">
        <v>0</v>
      </c>
      <c r="S301" s="1">
        <v>0</v>
      </c>
      <c r="T301" s="1">
        <v>0</v>
      </c>
      <c r="U301" s="1">
        <v>466445</v>
      </c>
      <c r="V301" s="1">
        <v>0</v>
      </c>
      <c r="W301" s="1">
        <v>99768</v>
      </c>
      <c r="X301" s="1">
        <v>0</v>
      </c>
      <c r="Y301" s="1">
        <v>221947</v>
      </c>
      <c r="Z301" s="1">
        <v>0</v>
      </c>
      <c r="AA301" s="1">
        <v>162502</v>
      </c>
      <c r="AB301" s="1">
        <v>0</v>
      </c>
      <c r="AC301" s="1">
        <v>502060</v>
      </c>
      <c r="AD301" s="1">
        <v>0</v>
      </c>
      <c r="AE301" s="1">
        <f t="shared" si="20"/>
        <v>6566512</v>
      </c>
      <c r="AF301" s="9">
        <f t="shared" si="21"/>
        <v>0</v>
      </c>
      <c r="AG301" s="9">
        <f t="shared" si="22"/>
        <v>0</v>
      </c>
      <c r="AH301" s="9">
        <f t="shared" si="23"/>
        <v>0</v>
      </c>
      <c r="AI301" s="9">
        <f t="shared" si="24"/>
        <v>0</v>
      </c>
      <c r="AJ301" s="1" t="str">
        <f>IF(VLOOKUP(A301,Hospital!A:C,3,FALSE)="H","Hospital","Freestanding")</f>
        <v>Hospital</v>
      </c>
      <c r="AK301" s="1">
        <v>2024</v>
      </c>
    </row>
    <row r="302" spans="1:37">
      <c r="A302" s="1">
        <v>80002</v>
      </c>
      <c r="B302" s="1" t="s">
        <v>467</v>
      </c>
      <c r="C302" s="1">
        <v>330706</v>
      </c>
      <c r="D302" s="1">
        <v>1184</v>
      </c>
      <c r="E302" s="1">
        <v>38780</v>
      </c>
      <c r="F302" s="1">
        <v>0</v>
      </c>
      <c r="G302" s="1">
        <v>229473</v>
      </c>
      <c r="H302" s="1">
        <v>563489</v>
      </c>
      <c r="I302" s="1">
        <v>308104</v>
      </c>
      <c r="J302" s="1">
        <v>1099649</v>
      </c>
      <c r="K302" s="1">
        <v>499677</v>
      </c>
      <c r="L302" s="1">
        <v>109559</v>
      </c>
      <c r="M302" s="1">
        <v>0</v>
      </c>
      <c r="N302" s="1">
        <v>68725</v>
      </c>
      <c r="O302" s="1">
        <v>200952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428774</v>
      </c>
      <c r="V302" s="1">
        <v>0</v>
      </c>
      <c r="W302" s="1">
        <v>123183</v>
      </c>
      <c r="X302" s="1">
        <v>0</v>
      </c>
      <c r="Y302" s="1">
        <v>212841</v>
      </c>
      <c r="Z302" s="1">
        <v>0</v>
      </c>
      <c r="AA302" s="1">
        <v>197039</v>
      </c>
      <c r="AB302" s="1">
        <v>0</v>
      </c>
      <c r="AC302" s="1">
        <v>374460</v>
      </c>
      <c r="AD302" s="1">
        <v>0</v>
      </c>
      <c r="AE302" s="1">
        <f t="shared" si="20"/>
        <v>4415925</v>
      </c>
      <c r="AF302" s="9">
        <f t="shared" si="21"/>
        <v>7.4889405956849356E-2</v>
      </c>
      <c r="AG302" s="9">
        <f t="shared" si="22"/>
        <v>2.681204957058827E-4</v>
      </c>
      <c r="AH302" s="9">
        <f t="shared" si="23"/>
        <v>8.7818520468531513E-3</v>
      </c>
      <c r="AI302" s="9">
        <f t="shared" si="24"/>
        <v>0</v>
      </c>
      <c r="AJ302" s="1" t="str">
        <f>IF(VLOOKUP(A302,Hospital!A:C,3,FALSE)="H","Hospital","Freestanding")</f>
        <v>Freestanding</v>
      </c>
      <c r="AK302" s="1">
        <v>2024</v>
      </c>
    </row>
    <row r="303" spans="1:37">
      <c r="A303" s="1">
        <v>80003</v>
      </c>
      <c r="B303" s="1" t="s">
        <v>468</v>
      </c>
      <c r="C303" s="1">
        <v>199837</v>
      </c>
      <c r="D303" s="1">
        <v>17219</v>
      </c>
      <c r="E303" s="1">
        <v>60366</v>
      </c>
      <c r="F303" s="1">
        <v>1699</v>
      </c>
      <c r="G303" s="1">
        <v>327576</v>
      </c>
      <c r="H303" s="1">
        <v>376838</v>
      </c>
      <c r="I303" s="1">
        <v>415503</v>
      </c>
      <c r="J303" s="1">
        <v>426524</v>
      </c>
      <c r="K303" s="1">
        <v>186675</v>
      </c>
      <c r="L303" s="1">
        <v>104409</v>
      </c>
      <c r="M303" s="1">
        <v>0</v>
      </c>
      <c r="N303" s="1">
        <v>118257</v>
      </c>
      <c r="O303" s="1">
        <v>82742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229043</v>
      </c>
      <c r="V303" s="1">
        <v>0</v>
      </c>
      <c r="W303" s="1">
        <v>32336</v>
      </c>
      <c r="X303" s="1">
        <v>0</v>
      </c>
      <c r="Y303" s="1">
        <v>84235</v>
      </c>
      <c r="Z303" s="1">
        <v>0</v>
      </c>
      <c r="AA303" s="1">
        <v>106726</v>
      </c>
      <c r="AB303" s="1">
        <v>0</v>
      </c>
      <c r="AC303" s="1">
        <v>280619</v>
      </c>
      <c r="AD303" s="1">
        <v>0</v>
      </c>
      <c r="AE303" s="1">
        <f t="shared" si="20"/>
        <v>2771483</v>
      </c>
      <c r="AF303" s="9">
        <f t="shared" si="21"/>
        <v>7.2104717943425961E-2</v>
      </c>
      <c r="AG303" s="9">
        <f t="shared" si="22"/>
        <v>6.2129192205039683E-3</v>
      </c>
      <c r="AH303" s="9">
        <f t="shared" si="23"/>
        <v>2.1781118628546522E-2</v>
      </c>
      <c r="AI303" s="9">
        <f t="shared" si="24"/>
        <v>6.1302919772554987E-4</v>
      </c>
      <c r="AJ303" s="1" t="str">
        <f>IF(VLOOKUP(A303,Hospital!A:C,3,FALSE)="H","Hospital","Freestanding")</f>
        <v>Freestanding</v>
      </c>
      <c r="AK303" s="1">
        <v>2024</v>
      </c>
    </row>
    <row r="304" spans="1:37">
      <c r="A304" s="1">
        <v>81001</v>
      </c>
      <c r="B304" s="1" t="s">
        <v>469</v>
      </c>
      <c r="C304" s="1">
        <v>160641</v>
      </c>
      <c r="D304" s="1">
        <v>22457</v>
      </c>
      <c r="E304" s="1">
        <v>15592</v>
      </c>
      <c r="F304" s="1">
        <v>188</v>
      </c>
      <c r="G304" s="1">
        <v>197114</v>
      </c>
      <c r="H304" s="1">
        <v>375761</v>
      </c>
      <c r="I304" s="1">
        <v>218592</v>
      </c>
      <c r="J304" s="1">
        <v>538006</v>
      </c>
      <c r="K304" s="1">
        <v>76940</v>
      </c>
      <c r="L304" s="1">
        <v>33326</v>
      </c>
      <c r="M304" s="1">
        <v>0</v>
      </c>
      <c r="N304" s="1">
        <v>56516</v>
      </c>
      <c r="O304" s="1">
        <v>101952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244676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79064</v>
      </c>
      <c r="AB304" s="1">
        <v>0</v>
      </c>
      <c r="AC304" s="1">
        <v>220713</v>
      </c>
      <c r="AD304" s="1">
        <v>0</v>
      </c>
      <c r="AE304" s="1">
        <f t="shared" si="20"/>
        <v>2142660</v>
      </c>
      <c r="AF304" s="9">
        <f t="shared" si="21"/>
        <v>7.4972697488168913E-2</v>
      </c>
      <c r="AG304" s="9">
        <f t="shared" si="22"/>
        <v>1.0480897575910317E-2</v>
      </c>
      <c r="AH304" s="9">
        <f t="shared" si="23"/>
        <v>7.2769361447919878E-3</v>
      </c>
      <c r="AI304" s="9">
        <f t="shared" si="24"/>
        <v>8.7741405542643262E-5</v>
      </c>
      <c r="AJ304" s="1" t="str">
        <f>IF(VLOOKUP(A304,Hospital!A:C,3,FALSE)="H","Hospital","Freestanding")</f>
        <v>Freestanding</v>
      </c>
      <c r="AK304" s="1">
        <v>2024</v>
      </c>
    </row>
    <row r="305" spans="1:37">
      <c r="A305" s="1">
        <v>81002</v>
      </c>
      <c r="B305" s="1" t="s">
        <v>470</v>
      </c>
      <c r="C305" s="1">
        <v>123800</v>
      </c>
      <c r="D305" s="1">
        <v>0</v>
      </c>
      <c r="E305" s="1">
        <v>35779</v>
      </c>
      <c r="F305" s="1">
        <v>0</v>
      </c>
      <c r="G305" s="1">
        <v>161367</v>
      </c>
      <c r="H305" s="1">
        <v>235764</v>
      </c>
      <c r="I305" s="1">
        <v>203005</v>
      </c>
      <c r="J305" s="1">
        <v>412233</v>
      </c>
      <c r="K305" s="1">
        <v>201587</v>
      </c>
      <c r="L305" s="1">
        <v>0</v>
      </c>
      <c r="M305" s="1">
        <v>0</v>
      </c>
      <c r="N305" s="1">
        <v>77673</v>
      </c>
      <c r="O305" s="1">
        <v>99968</v>
      </c>
      <c r="P305" s="1">
        <v>0</v>
      </c>
      <c r="Q305" s="1">
        <v>0</v>
      </c>
      <c r="R305" s="1">
        <v>-968</v>
      </c>
      <c r="S305" s="1">
        <v>0</v>
      </c>
      <c r="T305" s="1">
        <v>0</v>
      </c>
      <c r="U305" s="1">
        <v>159558</v>
      </c>
      <c r="V305" s="1">
        <v>1959</v>
      </c>
      <c r="W305" s="1">
        <v>26985</v>
      </c>
      <c r="X305" s="1">
        <v>54</v>
      </c>
      <c r="Y305" s="1">
        <v>31794</v>
      </c>
      <c r="Z305" s="1">
        <v>1083</v>
      </c>
      <c r="AA305" s="1">
        <v>59796</v>
      </c>
      <c r="AB305" s="1">
        <v>823</v>
      </c>
      <c r="AC305" s="1">
        <v>128169</v>
      </c>
      <c r="AD305" s="1">
        <v>656</v>
      </c>
      <c r="AE305" s="1">
        <f t="shared" si="20"/>
        <v>1801506</v>
      </c>
      <c r="AF305" s="9">
        <f t="shared" si="21"/>
        <v>6.8720281808664532E-2</v>
      </c>
      <c r="AG305" s="9">
        <f t="shared" si="22"/>
        <v>0</v>
      </c>
      <c r="AH305" s="9">
        <f t="shared" si="23"/>
        <v>1.9860605515607498E-2</v>
      </c>
      <c r="AI305" s="9">
        <f t="shared" si="24"/>
        <v>0</v>
      </c>
      <c r="AJ305" s="1" t="str">
        <f>IF(VLOOKUP(A305,Hospital!A:C,3,FALSE)="H","Hospital","Freestanding")</f>
        <v>Freestanding</v>
      </c>
      <c r="AK305" s="1">
        <v>2024</v>
      </c>
    </row>
    <row r="306" spans="1:37">
      <c r="A306" s="1">
        <v>81003</v>
      </c>
      <c r="B306" s="1" t="s">
        <v>471</v>
      </c>
      <c r="C306" s="1">
        <v>141499</v>
      </c>
      <c r="D306" s="1">
        <v>3851</v>
      </c>
      <c r="E306" s="1">
        <v>24149</v>
      </c>
      <c r="F306" s="1">
        <v>0</v>
      </c>
      <c r="G306" s="1">
        <v>202086</v>
      </c>
      <c r="H306" s="1">
        <v>94931</v>
      </c>
      <c r="I306" s="1">
        <v>172303</v>
      </c>
      <c r="J306" s="1">
        <v>379621</v>
      </c>
      <c r="K306" s="1">
        <v>18360</v>
      </c>
      <c r="L306" s="1">
        <v>16248</v>
      </c>
      <c r="M306" s="1">
        <v>0</v>
      </c>
      <c r="N306" s="1">
        <v>69963</v>
      </c>
      <c r="O306" s="1">
        <v>106251</v>
      </c>
      <c r="P306" s="1">
        <v>0</v>
      </c>
      <c r="Q306" s="1">
        <v>0</v>
      </c>
      <c r="R306" s="1">
        <v>745</v>
      </c>
      <c r="S306" s="1">
        <v>0</v>
      </c>
      <c r="T306" s="1">
        <v>0</v>
      </c>
      <c r="U306" s="1">
        <v>314995</v>
      </c>
      <c r="V306" s="1">
        <v>2047</v>
      </c>
      <c r="W306" s="1">
        <v>44573</v>
      </c>
      <c r="X306" s="1">
        <v>924</v>
      </c>
      <c r="Y306" s="1">
        <v>50635</v>
      </c>
      <c r="Z306" s="1">
        <v>5</v>
      </c>
      <c r="AA306" s="1">
        <v>101809</v>
      </c>
      <c r="AB306" s="1">
        <v>1067</v>
      </c>
      <c r="AC306" s="1">
        <v>244057</v>
      </c>
      <c r="AD306" s="1">
        <v>6650</v>
      </c>
      <c r="AE306" s="1">
        <f t="shared" si="20"/>
        <v>1827270</v>
      </c>
      <c r="AF306" s="9">
        <f t="shared" si="21"/>
        <v>7.7437379259770039E-2</v>
      </c>
      <c r="AG306" s="9">
        <f t="shared" si="22"/>
        <v>2.1075155833565921E-3</v>
      </c>
      <c r="AH306" s="9">
        <f t="shared" si="23"/>
        <v>1.321589037197568E-2</v>
      </c>
      <c r="AI306" s="9">
        <f t="shared" si="24"/>
        <v>0</v>
      </c>
      <c r="AJ306" s="1" t="str">
        <f>IF(VLOOKUP(A306,Hospital!A:C,3,FALSE)="H","Hospital","Freestanding")</f>
        <v>Freestanding</v>
      </c>
      <c r="AK306" s="1">
        <v>2024</v>
      </c>
    </row>
    <row r="307" spans="1:37">
      <c r="A307" s="1">
        <v>82001</v>
      </c>
      <c r="B307" s="1" t="s">
        <v>472</v>
      </c>
      <c r="C307" s="1">
        <v>222308</v>
      </c>
      <c r="D307" s="1">
        <v>9035</v>
      </c>
      <c r="E307" s="1">
        <v>22840</v>
      </c>
      <c r="F307" s="1">
        <v>15029</v>
      </c>
      <c r="G307" s="1">
        <v>345921</v>
      </c>
      <c r="H307" s="1">
        <v>219788</v>
      </c>
      <c r="I307" s="1">
        <v>612139</v>
      </c>
      <c r="J307" s="1">
        <v>951398</v>
      </c>
      <c r="K307" s="1">
        <v>1585</v>
      </c>
      <c r="L307" s="1">
        <v>65078</v>
      </c>
      <c r="M307" s="1">
        <v>0</v>
      </c>
      <c r="N307" s="1">
        <v>95760</v>
      </c>
      <c r="O307" s="1">
        <v>52803</v>
      </c>
      <c r="P307" s="1">
        <v>0</v>
      </c>
      <c r="Q307" s="1">
        <v>311</v>
      </c>
      <c r="R307" s="1">
        <v>0</v>
      </c>
      <c r="S307" s="1">
        <v>0</v>
      </c>
      <c r="T307" s="1">
        <v>0</v>
      </c>
      <c r="U307" s="1">
        <v>301616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70921</v>
      </c>
      <c r="AB307" s="1">
        <v>0</v>
      </c>
      <c r="AC307" s="1">
        <v>171502</v>
      </c>
      <c r="AD307" s="1">
        <v>0</v>
      </c>
      <c r="AE307" s="1">
        <f t="shared" si="20"/>
        <v>2888822</v>
      </c>
      <c r="AF307" s="9">
        <f t="shared" si="21"/>
        <v>7.6954551024604495E-2</v>
      </c>
      <c r="AG307" s="9">
        <f t="shared" si="22"/>
        <v>3.1275724153305394E-3</v>
      </c>
      <c r="AH307" s="9">
        <f t="shared" si="23"/>
        <v>7.9063369082622605E-3</v>
      </c>
      <c r="AI307" s="9">
        <f t="shared" si="24"/>
        <v>5.2024666109576848E-3</v>
      </c>
      <c r="AJ307" s="1" t="str">
        <f>IF(VLOOKUP(A307,Hospital!A:C,3,FALSE)="H","Hospital","Freestanding")</f>
        <v>Freestanding</v>
      </c>
      <c r="AK307" s="1">
        <v>2024</v>
      </c>
    </row>
    <row r="308" spans="1:37">
      <c r="A308" s="1">
        <v>82002</v>
      </c>
      <c r="B308" s="1" t="s">
        <v>473</v>
      </c>
      <c r="C308" s="1">
        <v>151426</v>
      </c>
      <c r="D308" s="1">
        <v>6023</v>
      </c>
      <c r="E308" s="1">
        <v>16258</v>
      </c>
      <c r="F308" s="1">
        <v>20807</v>
      </c>
      <c r="G308" s="1">
        <v>221740</v>
      </c>
      <c r="H308" s="1">
        <v>235125</v>
      </c>
      <c r="I308" s="1">
        <v>191131</v>
      </c>
      <c r="J308" s="1">
        <v>547470</v>
      </c>
      <c r="K308" s="1">
        <v>113672</v>
      </c>
      <c r="L308" s="1">
        <v>51196</v>
      </c>
      <c r="M308" s="1">
        <v>0</v>
      </c>
      <c r="N308" s="1">
        <v>71532</v>
      </c>
      <c r="O308" s="1">
        <v>41575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308468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51183</v>
      </c>
      <c r="AB308" s="1">
        <v>0</v>
      </c>
      <c r="AC308" s="1">
        <v>143885</v>
      </c>
      <c r="AD308" s="1">
        <v>0</v>
      </c>
      <c r="AE308" s="1">
        <f t="shared" si="20"/>
        <v>1976977</v>
      </c>
      <c r="AF308" s="9">
        <f t="shared" si="21"/>
        <v>7.6594720120669077E-2</v>
      </c>
      <c r="AG308" s="9">
        <f t="shared" si="22"/>
        <v>3.0465705974323425E-3</v>
      </c>
      <c r="AH308" s="9">
        <f t="shared" si="23"/>
        <v>8.2236667396737538E-3</v>
      </c>
      <c r="AI308" s="9">
        <f t="shared" si="24"/>
        <v>1.0524654560978706E-2</v>
      </c>
      <c r="AJ308" s="1" t="str">
        <f>IF(VLOOKUP(A308,Hospital!A:C,3,FALSE)="H","Hospital","Freestanding")</f>
        <v>Freestanding</v>
      </c>
      <c r="AK308" s="1">
        <v>2024</v>
      </c>
    </row>
    <row r="309" spans="1:37">
      <c r="A309" s="1">
        <v>82003</v>
      </c>
      <c r="B309" s="1" t="s">
        <v>474</v>
      </c>
      <c r="C309" s="1">
        <v>174988</v>
      </c>
      <c r="D309" s="1">
        <v>0</v>
      </c>
      <c r="E309" s="1">
        <v>7762</v>
      </c>
      <c r="F309" s="1">
        <v>57966</v>
      </c>
      <c r="G309" s="1">
        <v>379434</v>
      </c>
      <c r="H309" s="1">
        <v>239826</v>
      </c>
      <c r="I309" s="1">
        <v>398870</v>
      </c>
      <c r="J309" s="1">
        <v>471906</v>
      </c>
      <c r="K309" s="1">
        <v>2064</v>
      </c>
      <c r="L309" s="1">
        <v>54549</v>
      </c>
      <c r="M309" s="1">
        <v>0</v>
      </c>
      <c r="N309" s="1">
        <v>117596</v>
      </c>
      <c r="O309" s="1">
        <v>65008</v>
      </c>
      <c r="P309" s="1">
        <v>33420</v>
      </c>
      <c r="Q309" s="1">
        <v>0</v>
      </c>
      <c r="R309" s="1">
        <v>3890</v>
      </c>
      <c r="S309" s="1">
        <v>0</v>
      </c>
      <c r="T309" s="1">
        <v>0</v>
      </c>
      <c r="U309" s="1">
        <v>291203</v>
      </c>
      <c r="V309" s="1">
        <v>-1150</v>
      </c>
      <c r="W309" s="1">
        <v>0</v>
      </c>
      <c r="X309" s="1">
        <v>-103</v>
      </c>
      <c r="Y309" s="1">
        <v>93541</v>
      </c>
      <c r="Z309" s="1">
        <v>-216</v>
      </c>
      <c r="AA309" s="1">
        <v>70313</v>
      </c>
      <c r="AB309" s="1">
        <v>468</v>
      </c>
      <c r="AC309" s="1">
        <v>116100</v>
      </c>
      <c r="AD309" s="1">
        <v>420</v>
      </c>
      <c r="AE309" s="1">
        <f t="shared" si="20"/>
        <v>2337139</v>
      </c>
      <c r="AF309" s="9">
        <f t="shared" si="21"/>
        <v>7.4872739704399269E-2</v>
      </c>
      <c r="AG309" s="9">
        <f t="shared" si="22"/>
        <v>0</v>
      </c>
      <c r="AH309" s="9">
        <f t="shared" si="23"/>
        <v>3.321154625377438E-3</v>
      </c>
      <c r="AI309" s="9">
        <f t="shared" si="24"/>
        <v>2.4802119172201566E-2</v>
      </c>
      <c r="AJ309" s="1" t="str">
        <f>IF(VLOOKUP(A309,Hospital!A:C,3,FALSE)="H","Hospital","Freestanding")</f>
        <v>Freestanding</v>
      </c>
      <c r="AK309" s="1">
        <v>2024</v>
      </c>
    </row>
    <row r="310" spans="1:37">
      <c r="A310" s="1">
        <v>82005</v>
      </c>
      <c r="B310" s="1" t="s">
        <v>475</v>
      </c>
      <c r="C310" s="1">
        <v>281162</v>
      </c>
      <c r="D310" s="1">
        <v>34055</v>
      </c>
      <c r="E310" s="1">
        <v>72188</v>
      </c>
      <c r="F310" s="1">
        <v>0</v>
      </c>
      <c r="G310" s="1">
        <v>860111</v>
      </c>
      <c r="H310" s="1">
        <v>110217</v>
      </c>
      <c r="I310" s="1">
        <v>846981</v>
      </c>
      <c r="J310" s="1">
        <v>1430657</v>
      </c>
      <c r="K310" s="1">
        <v>3769</v>
      </c>
      <c r="L310" s="1">
        <v>57385</v>
      </c>
      <c r="M310" s="1">
        <v>0</v>
      </c>
      <c r="N310" s="1">
        <v>90929</v>
      </c>
      <c r="O310" s="1">
        <v>121929</v>
      </c>
      <c r="P310" s="1">
        <v>52899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91184</v>
      </c>
      <c r="AB310" s="1">
        <v>0</v>
      </c>
      <c r="AC310" s="1">
        <v>448993</v>
      </c>
      <c r="AD310" s="1">
        <v>0</v>
      </c>
      <c r="AE310" s="1">
        <f t="shared" si="20"/>
        <v>4115054</v>
      </c>
      <c r="AF310" s="9">
        <f t="shared" si="21"/>
        <v>6.8325227323869864E-2</v>
      </c>
      <c r="AG310" s="9">
        <f t="shared" si="22"/>
        <v>8.2757115702491394E-3</v>
      </c>
      <c r="AH310" s="9">
        <f t="shared" si="23"/>
        <v>1.7542418641407865E-2</v>
      </c>
      <c r="AI310" s="9">
        <f t="shared" si="24"/>
        <v>0</v>
      </c>
      <c r="AJ310" s="1" t="str">
        <f>IF(VLOOKUP(A310,Hospital!A:C,3,FALSE)="H","Hospital","Freestanding")</f>
        <v>Freestanding</v>
      </c>
      <c r="AK310" s="1">
        <v>2024</v>
      </c>
    </row>
    <row r="311" spans="1:37">
      <c r="A311" s="1">
        <v>82006</v>
      </c>
      <c r="B311" s="1" t="s">
        <v>476</v>
      </c>
      <c r="C311" s="1">
        <v>470541</v>
      </c>
      <c r="D311" s="1">
        <v>54163</v>
      </c>
      <c r="E311" s="1">
        <v>110577</v>
      </c>
      <c r="F311" s="1">
        <v>0</v>
      </c>
      <c r="G311" s="1">
        <v>669688</v>
      </c>
      <c r="H311" s="1">
        <v>1051448</v>
      </c>
      <c r="I311" s="1">
        <v>1021393</v>
      </c>
      <c r="J311" s="1">
        <v>2485608</v>
      </c>
      <c r="K311" s="1">
        <v>0</v>
      </c>
      <c r="L311" s="1">
        <v>112799</v>
      </c>
      <c r="M311" s="1">
        <v>0</v>
      </c>
      <c r="N311" s="1">
        <v>232857</v>
      </c>
      <c r="O311" s="1">
        <v>280628</v>
      </c>
      <c r="P311" s="1">
        <v>22502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157784</v>
      </c>
      <c r="AB311" s="1">
        <v>0</v>
      </c>
      <c r="AC311" s="1">
        <v>437763</v>
      </c>
      <c r="AD311" s="1">
        <v>0</v>
      </c>
      <c r="AE311" s="1">
        <f t="shared" si="20"/>
        <v>6472470</v>
      </c>
      <c r="AF311" s="9">
        <f t="shared" si="21"/>
        <v>7.2698830585541538E-2</v>
      </c>
      <c r="AG311" s="9">
        <f t="shared" si="22"/>
        <v>8.3682118263970328E-3</v>
      </c>
      <c r="AH311" s="9">
        <f t="shared" si="23"/>
        <v>1.7084204330031657E-2</v>
      </c>
      <c r="AI311" s="9">
        <f t="shared" si="24"/>
        <v>0</v>
      </c>
      <c r="AJ311" s="1" t="str">
        <f>IF(VLOOKUP(A311,Hospital!A:C,3,FALSE)="H","Hospital","Freestanding")</f>
        <v>Freestanding</v>
      </c>
      <c r="AK311" s="1">
        <v>2024</v>
      </c>
    </row>
    <row r="312" spans="1:37">
      <c r="A312" s="1">
        <v>82007</v>
      </c>
      <c r="B312" s="1" t="s">
        <v>477</v>
      </c>
      <c r="C312" s="1">
        <v>444747</v>
      </c>
      <c r="D312" s="1">
        <v>209</v>
      </c>
      <c r="E312" s="1">
        <v>213413</v>
      </c>
      <c r="F312" s="1">
        <v>156018</v>
      </c>
      <c r="G312" s="1">
        <v>522344</v>
      </c>
      <c r="H312" s="1">
        <v>1878466</v>
      </c>
      <c r="I312" s="1">
        <v>242755</v>
      </c>
      <c r="J312" s="1">
        <v>2361556</v>
      </c>
      <c r="K312" s="1">
        <v>152044</v>
      </c>
      <c r="L312" s="1">
        <v>240642</v>
      </c>
      <c r="M312" s="1">
        <v>0</v>
      </c>
      <c r="N312" s="1">
        <v>326572</v>
      </c>
      <c r="O312" s="1">
        <v>252203</v>
      </c>
      <c r="P312" s="1">
        <v>62451</v>
      </c>
      <c r="Q312" s="1">
        <v>0</v>
      </c>
      <c r="R312" s="1">
        <v>37824</v>
      </c>
      <c r="S312" s="1">
        <v>0</v>
      </c>
      <c r="T312" s="1">
        <v>0</v>
      </c>
      <c r="U312" s="1">
        <v>1013417</v>
      </c>
      <c r="V312" s="1">
        <v>824</v>
      </c>
      <c r="W312" s="1">
        <v>62566</v>
      </c>
      <c r="X312" s="1">
        <v>0</v>
      </c>
      <c r="Y312" s="1">
        <v>100870</v>
      </c>
      <c r="Z312" s="1">
        <v>1607</v>
      </c>
      <c r="AA312" s="1">
        <v>118677</v>
      </c>
      <c r="AB312" s="1">
        <v>1057</v>
      </c>
      <c r="AC312" s="1">
        <v>418746</v>
      </c>
      <c r="AD312" s="1">
        <v>3646</v>
      </c>
      <c r="AE312" s="1">
        <f t="shared" si="20"/>
        <v>7798267</v>
      </c>
      <c r="AF312" s="9">
        <f t="shared" si="21"/>
        <v>5.7031517387132295E-2</v>
      </c>
      <c r="AG312" s="9">
        <f t="shared" si="22"/>
        <v>2.6800826388734831E-5</v>
      </c>
      <c r="AH312" s="9">
        <f t="shared" si="23"/>
        <v>2.7366721349756297E-2</v>
      </c>
      <c r="AI312" s="9">
        <f t="shared" si="24"/>
        <v>2.000675278238101E-2</v>
      </c>
      <c r="AJ312" s="1" t="str">
        <f>IF(VLOOKUP(A312,Hospital!A:C,3,FALSE)="H","Hospital","Freestanding")</f>
        <v>Freestanding</v>
      </c>
      <c r="AK312" s="1">
        <v>2024</v>
      </c>
    </row>
    <row r="313" spans="1:37">
      <c r="A313" s="1">
        <v>82008</v>
      </c>
      <c r="B313" s="1" t="s">
        <v>478</v>
      </c>
      <c r="C313" s="1">
        <v>321080</v>
      </c>
      <c r="D313" s="1">
        <v>14698</v>
      </c>
      <c r="E313" s="1">
        <v>49343</v>
      </c>
      <c r="F313" s="1">
        <v>100258</v>
      </c>
      <c r="G313" s="1">
        <v>263971</v>
      </c>
      <c r="H313" s="1">
        <v>1003836</v>
      </c>
      <c r="I313" s="1">
        <v>587864</v>
      </c>
      <c r="J313" s="1">
        <v>1260642</v>
      </c>
      <c r="K313" s="1">
        <v>36518</v>
      </c>
      <c r="L313" s="1">
        <v>120861</v>
      </c>
      <c r="M313" s="1">
        <v>0</v>
      </c>
      <c r="N313" s="1">
        <v>192525</v>
      </c>
      <c r="O313" s="1">
        <v>45139</v>
      </c>
      <c r="P313" s="1">
        <v>21886</v>
      </c>
      <c r="Q313" s="1">
        <v>0</v>
      </c>
      <c r="R313" s="1">
        <v>0</v>
      </c>
      <c r="S313" s="1">
        <v>0</v>
      </c>
      <c r="T313" s="1">
        <v>0</v>
      </c>
      <c r="U313" s="1">
        <v>536772</v>
      </c>
      <c r="V313" s="1">
        <v>0</v>
      </c>
      <c r="W313" s="1">
        <v>0</v>
      </c>
      <c r="X313" s="1">
        <v>0</v>
      </c>
      <c r="Y313" s="1">
        <v>52692</v>
      </c>
      <c r="Z313" s="1">
        <v>0</v>
      </c>
      <c r="AA313" s="1">
        <v>41902</v>
      </c>
      <c r="AB313" s="1">
        <v>0</v>
      </c>
      <c r="AC313" s="1">
        <v>270926</v>
      </c>
      <c r="AD313" s="1">
        <v>0</v>
      </c>
      <c r="AE313" s="1">
        <f t="shared" si="20"/>
        <v>4435534</v>
      </c>
      <c r="AF313" s="9">
        <f t="shared" si="21"/>
        <v>7.2388127337091768E-2</v>
      </c>
      <c r="AG313" s="9">
        <f t="shared" si="22"/>
        <v>3.313693458329933E-3</v>
      </c>
      <c r="AH313" s="9">
        <f t="shared" si="23"/>
        <v>1.1124477909536934E-2</v>
      </c>
      <c r="AI313" s="9">
        <f t="shared" si="24"/>
        <v>2.2603366359044932E-2</v>
      </c>
      <c r="AJ313" s="1" t="str">
        <f>IF(VLOOKUP(A313,Hospital!A:C,3,FALSE)="H","Hospital","Freestanding")</f>
        <v>Freestanding</v>
      </c>
      <c r="AK313" s="1">
        <v>2024</v>
      </c>
    </row>
    <row r="314" spans="1:37">
      <c r="A314" s="1">
        <v>82009</v>
      </c>
      <c r="B314" s="1" t="s">
        <v>479</v>
      </c>
      <c r="C314" s="1">
        <v>177521</v>
      </c>
      <c r="D314" s="1">
        <v>2</v>
      </c>
      <c r="E314" s="1">
        <v>22313</v>
      </c>
      <c r="F314" s="1">
        <v>44691</v>
      </c>
      <c r="G314" s="1">
        <v>188677</v>
      </c>
      <c r="H314" s="1">
        <v>773456</v>
      </c>
      <c r="I314" s="1">
        <v>57545</v>
      </c>
      <c r="J314" s="1">
        <v>725709</v>
      </c>
      <c r="K314" s="1">
        <v>249292</v>
      </c>
      <c r="L314" s="1">
        <v>104633</v>
      </c>
      <c r="M314" s="1">
        <v>0</v>
      </c>
      <c r="N314" s="1">
        <v>124867</v>
      </c>
      <c r="O314" s="1">
        <v>79351</v>
      </c>
      <c r="P314" s="1">
        <v>27018</v>
      </c>
      <c r="Q314" s="1">
        <v>0</v>
      </c>
      <c r="R314" s="1">
        <v>23024</v>
      </c>
      <c r="S314" s="1">
        <v>0</v>
      </c>
      <c r="T314" s="1">
        <v>0</v>
      </c>
      <c r="U314" s="1">
        <v>348351</v>
      </c>
      <c r="V314" s="1">
        <v>1845</v>
      </c>
      <c r="W314" s="1">
        <v>52164</v>
      </c>
      <c r="X314" s="1">
        <v>0</v>
      </c>
      <c r="Y314" s="1">
        <v>83869</v>
      </c>
      <c r="Z314" s="1">
        <v>1024</v>
      </c>
      <c r="AA314" s="1">
        <v>54073</v>
      </c>
      <c r="AB314" s="1">
        <v>-1162</v>
      </c>
      <c r="AC314" s="1">
        <v>182672</v>
      </c>
      <c r="AD314" s="1">
        <v>4741</v>
      </c>
      <c r="AE314" s="1">
        <f t="shared" si="20"/>
        <v>3081149</v>
      </c>
      <c r="AF314" s="9">
        <f t="shared" si="21"/>
        <v>5.7615194851011749E-2</v>
      </c>
      <c r="AG314" s="9">
        <f t="shared" si="22"/>
        <v>6.4910849816091336E-7</v>
      </c>
      <c r="AH314" s="9">
        <f t="shared" si="23"/>
        <v>7.2417789597322294E-3</v>
      </c>
      <c r="AI314" s="9">
        <f t="shared" si="24"/>
        <v>1.4504653945654689E-2</v>
      </c>
      <c r="AJ314" s="1" t="str">
        <f>IF(VLOOKUP(A314,Hospital!A:C,3,FALSE)="H","Hospital","Freestanding")</f>
        <v>Hospital</v>
      </c>
      <c r="AK314" s="1">
        <v>2024</v>
      </c>
    </row>
    <row r="315" spans="1:37">
      <c r="A315" s="1">
        <v>83001</v>
      </c>
      <c r="B315" s="1" t="s">
        <v>480</v>
      </c>
      <c r="C315" s="1">
        <v>160363</v>
      </c>
      <c r="D315" s="1">
        <v>0</v>
      </c>
      <c r="E315" s="1">
        <v>10385</v>
      </c>
      <c r="F315" s="1">
        <v>69896</v>
      </c>
      <c r="G315" s="1">
        <v>269362</v>
      </c>
      <c r="H315" s="1">
        <v>233795</v>
      </c>
      <c r="I315" s="1">
        <v>228474</v>
      </c>
      <c r="J315" s="1">
        <v>570311</v>
      </c>
      <c r="K315" s="1">
        <v>118361</v>
      </c>
      <c r="L315" s="1">
        <v>7815</v>
      </c>
      <c r="M315" s="1">
        <v>0</v>
      </c>
      <c r="N315" s="1">
        <v>55622</v>
      </c>
      <c r="O315" s="1">
        <v>79234</v>
      </c>
      <c r="P315" s="1">
        <v>13228</v>
      </c>
      <c r="Q315" s="1">
        <v>0</v>
      </c>
      <c r="R315" s="1">
        <v>21797</v>
      </c>
      <c r="S315" s="1">
        <v>0</v>
      </c>
      <c r="T315" s="1">
        <v>0</v>
      </c>
      <c r="U315" s="1">
        <v>152759</v>
      </c>
      <c r="V315" s="1">
        <v>-308</v>
      </c>
      <c r="W315" s="1">
        <v>17195</v>
      </c>
      <c r="X315" s="1">
        <v>0</v>
      </c>
      <c r="Y315" s="1">
        <v>74598</v>
      </c>
      <c r="Z315" s="1">
        <v>470</v>
      </c>
      <c r="AA315" s="1">
        <v>81235</v>
      </c>
      <c r="AB315" s="1">
        <v>2959</v>
      </c>
      <c r="AC315" s="1">
        <v>157655</v>
      </c>
      <c r="AD315" s="1">
        <v>809</v>
      </c>
      <c r="AE315" s="1">
        <f t="shared" si="20"/>
        <v>2085371</v>
      </c>
      <c r="AF315" s="9">
        <f t="shared" si="21"/>
        <v>7.6899026600063008E-2</v>
      </c>
      <c r="AG315" s="9">
        <f t="shared" si="22"/>
        <v>0</v>
      </c>
      <c r="AH315" s="9">
        <f t="shared" si="23"/>
        <v>4.9799292308179213E-3</v>
      </c>
      <c r="AI315" s="9">
        <f t="shared" si="24"/>
        <v>3.3517297401757289E-2</v>
      </c>
      <c r="AJ315" s="1" t="str">
        <f>IF(VLOOKUP(A315,Hospital!A:C,3,FALSE)="H","Hospital","Freestanding")</f>
        <v>Freestanding</v>
      </c>
      <c r="AK315" s="1">
        <v>2024</v>
      </c>
    </row>
    <row r="316" spans="1:37">
      <c r="A316" s="1">
        <v>83002</v>
      </c>
      <c r="B316" s="1" t="s">
        <v>481</v>
      </c>
      <c r="C316" s="1">
        <v>192881</v>
      </c>
      <c r="D316" s="1">
        <v>0</v>
      </c>
      <c r="E316" s="1">
        <v>92568</v>
      </c>
      <c r="F316" s="1">
        <v>506</v>
      </c>
      <c r="G316" s="1">
        <v>196347</v>
      </c>
      <c r="H316" s="1">
        <v>405980</v>
      </c>
      <c r="I316" s="1">
        <v>373601</v>
      </c>
      <c r="J316" s="1">
        <v>595598</v>
      </c>
      <c r="K316" s="1">
        <v>30983</v>
      </c>
      <c r="L316" s="1">
        <v>25880</v>
      </c>
      <c r="M316" s="1">
        <v>0</v>
      </c>
      <c r="N316" s="1">
        <v>55241</v>
      </c>
      <c r="O316" s="1">
        <v>80920</v>
      </c>
      <c r="P316" s="1">
        <v>0</v>
      </c>
      <c r="Q316" s="1">
        <v>0</v>
      </c>
      <c r="R316" s="1">
        <v>20621</v>
      </c>
      <c r="S316" s="1">
        <v>0</v>
      </c>
      <c r="T316" s="1">
        <v>0</v>
      </c>
      <c r="U316" s="1">
        <v>315109</v>
      </c>
      <c r="V316" s="1">
        <v>-163</v>
      </c>
      <c r="W316" s="1">
        <v>73426</v>
      </c>
      <c r="X316" s="1">
        <v>-864</v>
      </c>
      <c r="Y316" s="1">
        <v>73450</v>
      </c>
      <c r="Z316" s="1">
        <v>2014</v>
      </c>
      <c r="AA316" s="1">
        <v>154542</v>
      </c>
      <c r="AB316" s="1">
        <v>-17691</v>
      </c>
      <c r="AC316" s="1">
        <v>159069</v>
      </c>
      <c r="AD316" s="1">
        <v>7731</v>
      </c>
      <c r="AE316" s="1">
        <f t="shared" si="20"/>
        <v>2551794</v>
      </c>
      <c r="AF316" s="9">
        <f t="shared" si="21"/>
        <v>7.5586430566103688E-2</v>
      </c>
      <c r="AG316" s="9">
        <f t="shared" si="22"/>
        <v>0</v>
      </c>
      <c r="AH316" s="9">
        <f t="shared" si="23"/>
        <v>3.6275655480026994E-2</v>
      </c>
      <c r="AI316" s="9">
        <f t="shared" si="24"/>
        <v>1.9829186838749523E-4</v>
      </c>
      <c r="AJ316" s="1" t="str">
        <f>IF(VLOOKUP(A316,Hospital!A:C,3,FALSE)="H","Hospital","Freestanding")</f>
        <v>Freestanding</v>
      </c>
      <c r="AK316" s="1">
        <v>2024</v>
      </c>
    </row>
    <row r="317" spans="1:37">
      <c r="A317" s="1">
        <v>84001</v>
      </c>
      <c r="B317" s="1" t="s">
        <v>482</v>
      </c>
      <c r="C317" s="1">
        <v>208848</v>
      </c>
      <c r="D317" s="1">
        <v>0</v>
      </c>
      <c r="E317" s="1">
        <v>42801</v>
      </c>
      <c r="F317" s="1">
        <v>96845</v>
      </c>
      <c r="G317" s="1">
        <v>148125</v>
      </c>
      <c r="H317" s="1">
        <v>376384</v>
      </c>
      <c r="I317" s="1">
        <v>148334</v>
      </c>
      <c r="J317" s="1">
        <v>983458</v>
      </c>
      <c r="K317" s="1">
        <v>0</v>
      </c>
      <c r="L317" s="1">
        <v>175363</v>
      </c>
      <c r="M317" s="1">
        <v>0</v>
      </c>
      <c r="N317" s="1">
        <v>49808</v>
      </c>
      <c r="O317" s="1">
        <v>93304</v>
      </c>
      <c r="P317" s="1">
        <v>199959</v>
      </c>
      <c r="Q317" s="1">
        <v>0</v>
      </c>
      <c r="R317" s="1">
        <v>2916</v>
      </c>
      <c r="S317" s="1">
        <v>0</v>
      </c>
      <c r="T317" s="1">
        <v>0</v>
      </c>
      <c r="U317" s="1">
        <v>350632</v>
      </c>
      <c r="V317" s="1">
        <v>2630</v>
      </c>
      <c r="W317" s="1">
        <v>0</v>
      </c>
      <c r="X317" s="1">
        <v>0</v>
      </c>
      <c r="Y317" s="1">
        <v>149248</v>
      </c>
      <c r="Z317" s="1">
        <v>-1273</v>
      </c>
      <c r="AA317" s="1">
        <v>822</v>
      </c>
      <c r="AB317" s="1">
        <v>0</v>
      </c>
      <c r="AC317" s="1">
        <v>248152</v>
      </c>
      <c r="AD317" s="1">
        <v>-4888</v>
      </c>
      <c r="AE317" s="1">
        <f t="shared" si="20"/>
        <v>2922974</v>
      </c>
      <c r="AF317" s="9">
        <f t="shared" si="21"/>
        <v>7.1450515810267221E-2</v>
      </c>
      <c r="AG317" s="9">
        <f t="shared" si="22"/>
        <v>0</v>
      </c>
      <c r="AH317" s="9">
        <f t="shared" si="23"/>
        <v>1.4642962954853516E-2</v>
      </c>
      <c r="AI317" s="9">
        <f t="shared" si="24"/>
        <v>3.3132350818036699E-2</v>
      </c>
      <c r="AJ317" s="1" t="str">
        <f>IF(VLOOKUP(A317,Hospital!A:C,3,FALSE)="H","Hospital","Freestanding")</f>
        <v>Hospital</v>
      </c>
      <c r="AK317" s="1">
        <v>2024</v>
      </c>
    </row>
    <row r="318" spans="1:37">
      <c r="A318" s="1">
        <v>85001</v>
      </c>
      <c r="B318" s="1" t="s">
        <v>483</v>
      </c>
      <c r="C318" s="1">
        <v>209588</v>
      </c>
      <c r="D318" s="1">
        <v>31</v>
      </c>
      <c r="E318" s="1">
        <v>70228</v>
      </c>
      <c r="F318" s="1">
        <v>0</v>
      </c>
      <c r="G318" s="1">
        <v>204061</v>
      </c>
      <c r="H318" s="1">
        <v>184428</v>
      </c>
      <c r="I318" s="1">
        <v>312512</v>
      </c>
      <c r="J318" s="1">
        <v>604875</v>
      </c>
      <c r="K318" s="1">
        <v>176839</v>
      </c>
      <c r="L318" s="1">
        <v>114896</v>
      </c>
      <c r="M318" s="1">
        <v>0</v>
      </c>
      <c r="N318" s="1">
        <v>62477</v>
      </c>
      <c r="O318" s="1">
        <v>110549</v>
      </c>
      <c r="P318" s="1">
        <v>-2249</v>
      </c>
      <c r="Q318" s="1">
        <v>0</v>
      </c>
      <c r="R318" s="1">
        <v>0</v>
      </c>
      <c r="S318" s="1">
        <v>0</v>
      </c>
      <c r="T318" s="1">
        <v>0</v>
      </c>
      <c r="U318" s="1">
        <v>316599</v>
      </c>
      <c r="V318" s="1">
        <v>0</v>
      </c>
      <c r="W318" s="1">
        <v>33531</v>
      </c>
      <c r="X318" s="1">
        <v>0</v>
      </c>
      <c r="Y318" s="1">
        <v>111786</v>
      </c>
      <c r="Z318" s="1">
        <v>0</v>
      </c>
      <c r="AA318" s="1">
        <v>228418</v>
      </c>
      <c r="AB318" s="1">
        <v>0</v>
      </c>
      <c r="AC318" s="1">
        <v>386576</v>
      </c>
      <c r="AD318" s="1">
        <v>0</v>
      </c>
      <c r="AE318" s="1">
        <f t="shared" si="20"/>
        <v>2845298</v>
      </c>
      <c r="AF318" s="9">
        <f t="shared" si="21"/>
        <v>7.3661177142077913E-2</v>
      </c>
      <c r="AG318" s="9">
        <f t="shared" si="22"/>
        <v>1.0895168098385477E-5</v>
      </c>
      <c r="AH318" s="9">
        <f t="shared" si="23"/>
        <v>2.4682124684303718E-2</v>
      </c>
      <c r="AI318" s="9">
        <f t="shared" si="24"/>
        <v>0</v>
      </c>
      <c r="AJ318" s="1" t="str">
        <f>IF(VLOOKUP(A318,Hospital!A:C,3,FALSE)="H","Hospital","Freestanding")</f>
        <v>Freestanding</v>
      </c>
      <c r="AK318" s="1">
        <v>2024</v>
      </c>
    </row>
    <row r="319" spans="1:37">
      <c r="A319" s="1">
        <v>85003</v>
      </c>
      <c r="B319" s="1" t="s">
        <v>484</v>
      </c>
      <c r="C319" s="1">
        <v>0</v>
      </c>
      <c r="D319" s="1">
        <v>0</v>
      </c>
      <c r="E319" s="1">
        <v>0</v>
      </c>
      <c r="F319" s="1">
        <v>0</v>
      </c>
      <c r="G319" s="1">
        <v>111663</v>
      </c>
      <c r="H319" s="1">
        <v>725825</v>
      </c>
      <c r="I319" s="1">
        <v>311685</v>
      </c>
      <c r="J319" s="1">
        <v>987655</v>
      </c>
      <c r="K319" s="1">
        <v>575091</v>
      </c>
      <c r="L319" s="1">
        <v>167208</v>
      </c>
      <c r="M319" s="1">
        <v>0</v>
      </c>
      <c r="N319" s="1">
        <v>40379</v>
      </c>
      <c r="O319" s="1">
        <v>166824</v>
      </c>
      <c r="P319" s="1">
        <v>0</v>
      </c>
      <c r="Q319" s="1">
        <v>63047</v>
      </c>
      <c r="R319" s="1">
        <v>50138</v>
      </c>
      <c r="S319" s="1">
        <v>0</v>
      </c>
      <c r="T319" s="1">
        <v>0</v>
      </c>
      <c r="U319" s="1">
        <v>362557</v>
      </c>
      <c r="V319" s="1">
        <v>0</v>
      </c>
      <c r="W319" s="1">
        <v>42617</v>
      </c>
      <c r="X319" s="1">
        <v>0</v>
      </c>
      <c r="Y319" s="1">
        <v>348401</v>
      </c>
      <c r="Z319" s="1">
        <v>0</v>
      </c>
      <c r="AA319" s="1">
        <v>198280</v>
      </c>
      <c r="AB319" s="1">
        <v>0</v>
      </c>
      <c r="AC319" s="1">
        <v>671644</v>
      </c>
      <c r="AD319" s="1">
        <v>0</v>
      </c>
      <c r="AE319" s="1">
        <f t="shared" si="20"/>
        <v>4823014</v>
      </c>
      <c r="AF319" s="9">
        <f t="shared" si="21"/>
        <v>0</v>
      </c>
      <c r="AG319" s="9">
        <f t="shared" si="22"/>
        <v>0</v>
      </c>
      <c r="AH319" s="9">
        <f t="shared" si="23"/>
        <v>0</v>
      </c>
      <c r="AI319" s="9">
        <f t="shared" si="24"/>
        <v>0</v>
      </c>
      <c r="AJ319" s="1" t="str">
        <f>IF(VLOOKUP(A319,Hospital!A:C,3,FALSE)="H","Hospital","Freestanding")</f>
        <v>Hospital</v>
      </c>
      <c r="AK319" s="1">
        <v>2024</v>
      </c>
    </row>
    <row r="320" spans="1:37">
      <c r="A320" s="1">
        <v>85005</v>
      </c>
      <c r="B320" s="1" t="s">
        <v>485</v>
      </c>
      <c r="C320" s="1">
        <v>405013</v>
      </c>
      <c r="D320" s="1">
        <v>22738</v>
      </c>
      <c r="E320" s="1">
        <v>145422</v>
      </c>
      <c r="F320" s="1">
        <v>92551</v>
      </c>
      <c r="G320" s="1">
        <v>405275</v>
      </c>
      <c r="H320" s="1">
        <v>743059</v>
      </c>
      <c r="I320" s="1">
        <v>958735</v>
      </c>
      <c r="J320" s="1">
        <v>1478929</v>
      </c>
      <c r="K320" s="1">
        <v>179754</v>
      </c>
      <c r="L320" s="1">
        <v>114426</v>
      </c>
      <c r="M320" s="1">
        <v>0</v>
      </c>
      <c r="N320" s="1">
        <v>88339</v>
      </c>
      <c r="O320" s="1">
        <v>164319</v>
      </c>
      <c r="P320" s="1">
        <v>31651</v>
      </c>
      <c r="Q320" s="1">
        <v>94837</v>
      </c>
      <c r="R320" s="1">
        <v>6741</v>
      </c>
      <c r="S320" s="1">
        <v>0</v>
      </c>
      <c r="T320" s="1">
        <v>0</v>
      </c>
      <c r="U320" s="1">
        <v>497650</v>
      </c>
      <c r="V320" s="1">
        <v>747</v>
      </c>
      <c r="W320" s="1">
        <v>45984</v>
      </c>
      <c r="X320" s="1">
        <v>1156</v>
      </c>
      <c r="Y320" s="1">
        <v>266651</v>
      </c>
      <c r="Z320" s="1">
        <v>-6299</v>
      </c>
      <c r="AA320" s="1">
        <v>110974</v>
      </c>
      <c r="AB320" s="1">
        <v>1926</v>
      </c>
      <c r="AC320" s="1">
        <v>490030</v>
      </c>
      <c r="AD320" s="1">
        <v>4276</v>
      </c>
      <c r="AE320" s="1">
        <f t="shared" si="20"/>
        <v>5679160</v>
      </c>
      <c r="AF320" s="9">
        <f t="shared" si="21"/>
        <v>7.1315652314778946E-2</v>
      </c>
      <c r="AG320" s="9">
        <f t="shared" si="22"/>
        <v>4.0037611196021951E-3</v>
      </c>
      <c r="AH320" s="9">
        <f t="shared" si="23"/>
        <v>2.5606251628762001E-2</v>
      </c>
      <c r="AI320" s="9">
        <f t="shared" si="24"/>
        <v>1.6296600201438242E-2</v>
      </c>
      <c r="AJ320" s="1" t="str">
        <f>IF(VLOOKUP(A320,Hospital!A:C,3,FALSE)="H","Hospital","Freestanding")</f>
        <v>Freestanding</v>
      </c>
      <c r="AK320" s="1">
        <v>2024</v>
      </c>
    </row>
    <row r="321" spans="1:37">
      <c r="A321" s="1">
        <v>85006</v>
      </c>
      <c r="B321" s="1" t="s">
        <v>486</v>
      </c>
      <c r="C321" s="1">
        <v>130261</v>
      </c>
      <c r="D321" s="1">
        <v>7567</v>
      </c>
      <c r="E321" s="1">
        <v>45558</v>
      </c>
      <c r="F321" s="1">
        <v>0</v>
      </c>
      <c r="G321" s="1">
        <v>281306</v>
      </c>
      <c r="H321" s="1">
        <v>380516</v>
      </c>
      <c r="I321" s="1">
        <v>236527</v>
      </c>
      <c r="J321" s="1">
        <v>595197</v>
      </c>
      <c r="K321" s="1">
        <v>12475</v>
      </c>
      <c r="L321" s="1">
        <v>13968</v>
      </c>
      <c r="M321" s="1">
        <v>0</v>
      </c>
      <c r="N321" s="1">
        <v>56383</v>
      </c>
      <c r="O321" s="1">
        <v>46401</v>
      </c>
      <c r="P321" s="1">
        <v>0</v>
      </c>
      <c r="Q321" s="1">
        <v>0</v>
      </c>
      <c r="R321" s="1">
        <v>-9950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63550</v>
      </c>
      <c r="AB321" s="1">
        <v>-1732</v>
      </c>
      <c r="AC321" s="1">
        <v>114170</v>
      </c>
      <c r="AD321" s="1">
        <v>-220</v>
      </c>
      <c r="AE321" s="1">
        <f t="shared" si="20"/>
        <v>1788591</v>
      </c>
      <c r="AF321" s="9">
        <f t="shared" si="21"/>
        <v>7.2828835658906924E-2</v>
      </c>
      <c r="AG321" s="9">
        <f t="shared" si="22"/>
        <v>4.230704504271798E-3</v>
      </c>
      <c r="AH321" s="9">
        <f t="shared" si="23"/>
        <v>2.547144651851653E-2</v>
      </c>
      <c r="AI321" s="9">
        <f t="shared" si="24"/>
        <v>0</v>
      </c>
      <c r="AJ321" s="1" t="str">
        <f>IF(VLOOKUP(A321,Hospital!A:C,3,FALSE)="H","Hospital","Freestanding")</f>
        <v>Freestanding</v>
      </c>
      <c r="AK321" s="1">
        <v>2024</v>
      </c>
    </row>
    <row r="322" spans="1:37">
      <c r="A322" s="1">
        <v>86001</v>
      </c>
      <c r="B322" s="1" t="s">
        <v>487</v>
      </c>
      <c r="C322" s="1">
        <v>170466</v>
      </c>
      <c r="D322" s="1">
        <v>0</v>
      </c>
      <c r="E322" s="1">
        <v>443</v>
      </c>
      <c r="F322" s="1">
        <v>90314</v>
      </c>
      <c r="G322" s="1">
        <v>275359</v>
      </c>
      <c r="H322" s="1">
        <v>667464</v>
      </c>
      <c r="I322" s="1">
        <v>10838</v>
      </c>
      <c r="J322" s="1">
        <v>530291</v>
      </c>
      <c r="K322" s="1">
        <v>39617</v>
      </c>
      <c r="L322" s="1">
        <v>62946</v>
      </c>
      <c r="M322" s="1">
        <v>0</v>
      </c>
      <c r="N322" s="1">
        <v>20629</v>
      </c>
      <c r="O322" s="1">
        <v>66179</v>
      </c>
      <c r="P322" s="1">
        <v>0</v>
      </c>
      <c r="Q322" s="1">
        <v>0</v>
      </c>
      <c r="R322" s="1">
        <v>5015</v>
      </c>
      <c r="S322" s="1">
        <v>0</v>
      </c>
      <c r="T322" s="1">
        <v>0</v>
      </c>
      <c r="U322" s="1">
        <v>230631</v>
      </c>
      <c r="V322" s="1">
        <v>4171</v>
      </c>
      <c r="W322" s="1">
        <v>0</v>
      </c>
      <c r="X322" s="1">
        <v>0</v>
      </c>
      <c r="Y322" s="1">
        <v>81534</v>
      </c>
      <c r="Z322" s="1">
        <v>-1342</v>
      </c>
      <c r="AA322" s="1">
        <v>54143</v>
      </c>
      <c r="AB322" s="1">
        <v>424</v>
      </c>
      <c r="AC322" s="1">
        <v>148637</v>
      </c>
      <c r="AD322" s="1">
        <v>-1948</v>
      </c>
      <c r="AE322" s="1">
        <f t="shared" si="20"/>
        <v>2194588</v>
      </c>
      <c r="AF322" s="9">
        <f t="shared" si="21"/>
        <v>7.7675627498190999E-2</v>
      </c>
      <c r="AG322" s="9">
        <f t="shared" si="22"/>
        <v>0</v>
      </c>
      <c r="AH322" s="9">
        <f t="shared" si="23"/>
        <v>2.0186021248635278E-4</v>
      </c>
      <c r="AI322" s="9">
        <f t="shared" si="24"/>
        <v>4.1153054696371254E-2</v>
      </c>
      <c r="AJ322" s="1" t="str">
        <f>IF(VLOOKUP(A322,Hospital!A:C,3,FALSE)="H","Hospital","Freestanding")</f>
        <v>Freestanding</v>
      </c>
      <c r="AK322" s="1">
        <v>2024</v>
      </c>
    </row>
    <row r="323" spans="1:37">
      <c r="A323" s="1">
        <v>86002</v>
      </c>
      <c r="B323" s="1" t="s">
        <v>488</v>
      </c>
      <c r="C323" s="1">
        <v>289248</v>
      </c>
      <c r="D323" s="1">
        <v>54649</v>
      </c>
      <c r="E323" s="1">
        <v>46827</v>
      </c>
      <c r="F323" s="1">
        <v>51642</v>
      </c>
      <c r="G323" s="1">
        <v>239421</v>
      </c>
      <c r="H323" s="1">
        <v>1112995</v>
      </c>
      <c r="I323" s="1">
        <v>232323</v>
      </c>
      <c r="J323" s="1">
        <v>1754123</v>
      </c>
      <c r="K323" s="1">
        <v>1652</v>
      </c>
      <c r="L323" s="1">
        <v>54294</v>
      </c>
      <c r="M323" s="1">
        <v>0</v>
      </c>
      <c r="N323" s="1">
        <v>76066</v>
      </c>
      <c r="O323" s="1">
        <v>262511</v>
      </c>
      <c r="P323" s="1">
        <v>0</v>
      </c>
      <c r="Q323" s="1">
        <v>0</v>
      </c>
      <c r="R323" s="1">
        <v>-2095</v>
      </c>
      <c r="S323" s="1">
        <v>0</v>
      </c>
      <c r="T323" s="1">
        <v>0</v>
      </c>
      <c r="U323" s="1">
        <v>467307</v>
      </c>
      <c r="V323" s="1">
        <v>0</v>
      </c>
      <c r="W323" s="1">
        <v>15556</v>
      </c>
      <c r="X323" s="1">
        <v>0</v>
      </c>
      <c r="Y323" s="1">
        <v>197972</v>
      </c>
      <c r="Z323" s="1">
        <v>-1094</v>
      </c>
      <c r="AA323" s="1">
        <v>138345</v>
      </c>
      <c r="AB323" s="1">
        <v>-1495</v>
      </c>
      <c r="AC323" s="1">
        <v>214512</v>
      </c>
      <c r="AD323" s="1">
        <v>3503</v>
      </c>
      <c r="AE323" s="1">
        <f t="shared" si="20"/>
        <v>4765896</v>
      </c>
      <c r="AF323" s="9">
        <f t="shared" si="21"/>
        <v>6.0691211054542525E-2</v>
      </c>
      <c r="AG323" s="9">
        <f t="shared" si="22"/>
        <v>1.1466679088255388E-2</v>
      </c>
      <c r="AH323" s="9">
        <f t="shared" si="23"/>
        <v>9.8254347136404151E-3</v>
      </c>
      <c r="AI323" s="9">
        <f t="shared" si="24"/>
        <v>1.0835737917906728E-2</v>
      </c>
      <c r="AJ323" s="1" t="str">
        <f>IF(VLOOKUP(A323,Hospital!A:C,3,FALSE)="H","Hospital","Freestanding")</f>
        <v>Hospital</v>
      </c>
      <c r="AK323" s="1">
        <v>2024</v>
      </c>
    </row>
    <row r="324" spans="1:37">
      <c r="A324" s="1">
        <v>86003</v>
      </c>
      <c r="B324" s="1" t="s">
        <v>489</v>
      </c>
      <c r="C324" s="1">
        <v>545147</v>
      </c>
      <c r="D324" s="1">
        <v>9072</v>
      </c>
      <c r="E324" s="1">
        <v>97262</v>
      </c>
      <c r="F324" s="1">
        <v>145442</v>
      </c>
      <c r="G324" s="1">
        <v>387686</v>
      </c>
      <c r="H324" s="1">
        <v>1832648</v>
      </c>
      <c r="I324" s="1">
        <v>731543</v>
      </c>
      <c r="J324" s="1">
        <v>1864460</v>
      </c>
      <c r="K324" s="1">
        <v>220870</v>
      </c>
      <c r="L324" s="1">
        <v>222174</v>
      </c>
      <c r="M324" s="1">
        <v>0</v>
      </c>
      <c r="N324" s="1">
        <v>147391</v>
      </c>
      <c r="O324" s="1">
        <v>309423</v>
      </c>
      <c r="P324" s="1">
        <v>85030</v>
      </c>
      <c r="Q324" s="1">
        <v>57432</v>
      </c>
      <c r="R324" s="1">
        <v>0</v>
      </c>
      <c r="S324" s="1">
        <v>0</v>
      </c>
      <c r="T324" s="1">
        <v>0</v>
      </c>
      <c r="U324" s="1">
        <v>582379</v>
      </c>
      <c r="V324" s="1">
        <v>0</v>
      </c>
      <c r="W324" s="1">
        <v>117190</v>
      </c>
      <c r="X324" s="1">
        <v>0</v>
      </c>
      <c r="Y324" s="1">
        <v>275542</v>
      </c>
      <c r="Z324" s="1">
        <v>0</v>
      </c>
      <c r="AA324" s="1">
        <v>156732</v>
      </c>
      <c r="AB324" s="1">
        <v>0</v>
      </c>
      <c r="AC324" s="1">
        <v>377391</v>
      </c>
      <c r="AD324" s="1">
        <v>0</v>
      </c>
      <c r="AE324" s="1">
        <f t="shared" ref="AE324:AE331" si="25">SUM(G324:AD324)</f>
        <v>7367891</v>
      </c>
      <c r="AF324" s="9">
        <f t="shared" ref="AF324:AF331" si="26">C324/AE324</f>
        <v>7.3989558206004946E-2</v>
      </c>
      <c r="AG324" s="9">
        <f t="shared" ref="AG324:AG331" si="27">D324/AE324</f>
        <v>1.2312885736230354E-3</v>
      </c>
      <c r="AH324" s="9">
        <f t="shared" ref="AH324:AH331" si="28">E324/AE324</f>
        <v>1.3200792465578006E-2</v>
      </c>
      <c r="AI324" s="9">
        <f t="shared" ref="AI324:AI331" si="29">F324/AE324</f>
        <v>1.973997715221357E-2</v>
      </c>
      <c r="AJ324" s="1" t="str">
        <f>IF(VLOOKUP(A324,Hospital!A:C,3,FALSE)="H","Hospital","Freestanding")</f>
        <v>Freestanding</v>
      </c>
      <c r="AK324" s="1">
        <v>2024</v>
      </c>
    </row>
    <row r="325" spans="1:37">
      <c r="A325" s="1">
        <v>86004</v>
      </c>
      <c r="B325" s="1" t="s">
        <v>490</v>
      </c>
      <c r="C325" s="1">
        <v>306271</v>
      </c>
      <c r="D325" s="1">
        <v>21982</v>
      </c>
      <c r="E325" s="1">
        <v>46915</v>
      </c>
      <c r="F325" s="1">
        <v>72808</v>
      </c>
      <c r="G325" s="1">
        <v>125412</v>
      </c>
      <c r="H325" s="1">
        <v>600401</v>
      </c>
      <c r="I325" s="1">
        <v>455344</v>
      </c>
      <c r="J325" s="1">
        <v>941846</v>
      </c>
      <c r="K325" s="1">
        <v>0</v>
      </c>
      <c r="L325" s="1">
        <v>72122</v>
      </c>
      <c r="M325" s="1">
        <v>0</v>
      </c>
      <c r="N325" s="1">
        <v>61014</v>
      </c>
      <c r="O325" s="1">
        <v>154070</v>
      </c>
      <c r="P325" s="1">
        <v>1448</v>
      </c>
      <c r="Q325" s="1">
        <v>0</v>
      </c>
      <c r="R325" s="1">
        <v>34576</v>
      </c>
      <c r="S325" s="1">
        <v>0</v>
      </c>
      <c r="T325" s="1">
        <v>0</v>
      </c>
      <c r="U325" s="1">
        <v>462743</v>
      </c>
      <c r="V325" s="1">
        <v>57899</v>
      </c>
      <c r="W325" s="1">
        <v>0</v>
      </c>
      <c r="X325" s="1">
        <v>0</v>
      </c>
      <c r="Y325" s="1">
        <v>255087</v>
      </c>
      <c r="Z325" s="1">
        <v>10310</v>
      </c>
      <c r="AA325" s="1">
        <v>119330</v>
      </c>
      <c r="AB325" s="1">
        <v>13861</v>
      </c>
      <c r="AC325" s="1">
        <v>207391</v>
      </c>
      <c r="AD325" s="1">
        <v>20281</v>
      </c>
      <c r="AE325" s="1">
        <f t="shared" si="25"/>
        <v>3593135</v>
      </c>
      <c r="AF325" s="9">
        <f t="shared" si="26"/>
        <v>8.5237821568073566E-2</v>
      </c>
      <c r="AG325" s="9">
        <f t="shared" si="27"/>
        <v>6.1177773726842997E-3</v>
      </c>
      <c r="AH325" s="9">
        <f t="shared" si="28"/>
        <v>1.3056843118891999E-2</v>
      </c>
      <c r="AI325" s="9">
        <f t="shared" si="29"/>
        <v>2.0263085021854175E-2</v>
      </c>
      <c r="AJ325" s="1" t="str">
        <f>IF(VLOOKUP(A325,Hospital!A:C,3,FALSE)="H","Hospital","Freestanding")</f>
        <v>Freestanding</v>
      </c>
      <c r="AK325" s="1">
        <v>2024</v>
      </c>
    </row>
    <row r="326" spans="1:37">
      <c r="A326" s="1">
        <v>86005</v>
      </c>
      <c r="B326" s="1" t="s">
        <v>491</v>
      </c>
      <c r="C326" s="1">
        <v>157153</v>
      </c>
      <c r="D326" s="1">
        <v>22964</v>
      </c>
      <c r="E326" s="1">
        <v>25516</v>
      </c>
      <c r="F326" s="1">
        <v>6359</v>
      </c>
      <c r="G326" s="1">
        <v>195797</v>
      </c>
      <c r="H326" s="1">
        <v>179303</v>
      </c>
      <c r="I326" s="1">
        <v>261726</v>
      </c>
      <c r="J326" s="1">
        <v>540853</v>
      </c>
      <c r="K326" s="1">
        <v>298577</v>
      </c>
      <c r="L326" s="1">
        <v>39036</v>
      </c>
      <c r="M326" s="1">
        <v>19885</v>
      </c>
      <c r="N326" s="1">
        <v>30363</v>
      </c>
      <c r="O326" s="1">
        <v>54692</v>
      </c>
      <c r="P326" s="1">
        <v>0</v>
      </c>
      <c r="Q326" s="1">
        <v>491</v>
      </c>
      <c r="R326" s="1">
        <v>0</v>
      </c>
      <c r="S326" s="1">
        <v>0</v>
      </c>
      <c r="T326" s="1">
        <v>0</v>
      </c>
      <c r="U326" s="1">
        <v>195608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37262</v>
      </c>
      <c r="AB326" s="1">
        <v>0</v>
      </c>
      <c r="AC326" s="1">
        <v>202815</v>
      </c>
      <c r="AD326" s="1">
        <v>0</v>
      </c>
      <c r="AE326" s="1">
        <f t="shared" si="25"/>
        <v>2056408</v>
      </c>
      <c r="AF326" s="9">
        <f t="shared" si="26"/>
        <v>7.6421118766314855E-2</v>
      </c>
      <c r="AG326" s="9">
        <f t="shared" si="27"/>
        <v>1.1167044672068967E-2</v>
      </c>
      <c r="AH326" s="9">
        <f t="shared" si="28"/>
        <v>1.2408043539997899E-2</v>
      </c>
      <c r="AI326" s="9">
        <f t="shared" si="29"/>
        <v>3.0922851885423516E-3</v>
      </c>
      <c r="AJ326" s="1" t="str">
        <f>IF(VLOOKUP(A326,Hospital!A:C,3,FALSE)="H","Hospital","Freestanding")</f>
        <v>Freestanding</v>
      </c>
      <c r="AK326" s="1">
        <v>2024</v>
      </c>
    </row>
    <row r="327" spans="1:37">
      <c r="A327" s="1">
        <v>86006</v>
      </c>
      <c r="B327" s="1" t="s">
        <v>492</v>
      </c>
      <c r="C327" s="1">
        <v>302463</v>
      </c>
      <c r="D327" s="1">
        <v>4774</v>
      </c>
      <c r="E327" s="1">
        <v>25719</v>
      </c>
      <c r="F327" s="1">
        <v>73686</v>
      </c>
      <c r="G327" s="1">
        <v>299907</v>
      </c>
      <c r="H327" s="1">
        <v>639343</v>
      </c>
      <c r="I327" s="1">
        <v>484230</v>
      </c>
      <c r="J327" s="1">
        <v>1045469</v>
      </c>
      <c r="K327" s="1">
        <v>298450</v>
      </c>
      <c r="L327" s="1">
        <v>105543</v>
      </c>
      <c r="M327" s="1">
        <v>0</v>
      </c>
      <c r="N327" s="1">
        <v>14847</v>
      </c>
      <c r="O327" s="1">
        <v>93943</v>
      </c>
      <c r="P327" s="1">
        <v>77097</v>
      </c>
      <c r="Q327" s="1">
        <v>50322</v>
      </c>
      <c r="R327" s="1">
        <v>0</v>
      </c>
      <c r="S327" s="1">
        <v>0</v>
      </c>
      <c r="T327" s="1">
        <v>0</v>
      </c>
      <c r="U327" s="1">
        <v>319966</v>
      </c>
      <c r="V327" s="1">
        <v>0</v>
      </c>
      <c r="W327" s="1">
        <v>80584</v>
      </c>
      <c r="X327" s="1">
        <v>0</v>
      </c>
      <c r="Y327" s="1">
        <v>125670</v>
      </c>
      <c r="Z327" s="1">
        <v>0</v>
      </c>
      <c r="AA327" s="1">
        <v>92669</v>
      </c>
      <c r="AB327" s="1">
        <v>0</v>
      </c>
      <c r="AC327" s="1">
        <v>367108</v>
      </c>
      <c r="AD327" s="1">
        <v>0</v>
      </c>
      <c r="AE327" s="1">
        <f t="shared" si="25"/>
        <v>4095148</v>
      </c>
      <c r="AF327" s="9">
        <f t="shared" si="26"/>
        <v>7.3858869081166303E-2</v>
      </c>
      <c r="AG327" s="9">
        <f>D327/AE327</f>
        <v>1.1657698329828373E-3</v>
      </c>
      <c r="AH327" s="9">
        <f t="shared" si="28"/>
        <v>6.2803590981327173E-3</v>
      </c>
      <c r="AI327" s="9">
        <f>F327/AE327</f>
        <v>1.7993488880011173E-2</v>
      </c>
      <c r="AJ327" s="1" t="str">
        <f>IF(VLOOKUP(A327,Hospital!A:C,3,FALSE)="H","Hospital","Freestanding")</f>
        <v>Freestanding</v>
      </c>
      <c r="AK327" s="1">
        <v>2024</v>
      </c>
    </row>
    <row r="328" spans="1:37">
      <c r="A328" s="1">
        <v>86007</v>
      </c>
      <c r="B328" s="1" t="s">
        <v>493</v>
      </c>
      <c r="C328" s="1">
        <v>263106</v>
      </c>
      <c r="D328" s="1">
        <v>12157</v>
      </c>
      <c r="E328" s="1">
        <v>34537</v>
      </c>
      <c r="F328" s="1">
        <v>0</v>
      </c>
      <c r="G328" s="1">
        <v>191155</v>
      </c>
      <c r="H328" s="1">
        <v>272424</v>
      </c>
      <c r="I328" s="1">
        <v>437743</v>
      </c>
      <c r="J328" s="1">
        <v>896379</v>
      </c>
      <c r="K328" s="1">
        <v>394943</v>
      </c>
      <c r="L328" s="1">
        <v>70957</v>
      </c>
      <c r="M328" s="1">
        <v>0</v>
      </c>
      <c r="N328" s="1">
        <v>77317</v>
      </c>
      <c r="O328" s="1">
        <v>118395</v>
      </c>
      <c r="P328" s="1">
        <v>9149</v>
      </c>
      <c r="Q328" s="1">
        <v>0</v>
      </c>
      <c r="R328" s="1">
        <v>-14971</v>
      </c>
      <c r="S328" s="1">
        <v>0</v>
      </c>
      <c r="T328" s="1">
        <v>0</v>
      </c>
      <c r="U328" s="1">
        <v>353362</v>
      </c>
      <c r="V328" s="1">
        <v>1498</v>
      </c>
      <c r="W328" s="1">
        <v>86378</v>
      </c>
      <c r="X328" s="1">
        <v>1672</v>
      </c>
      <c r="Y328" s="1">
        <v>151688</v>
      </c>
      <c r="Z328" s="1">
        <v>-3205</v>
      </c>
      <c r="AA328" s="1">
        <v>106006</v>
      </c>
      <c r="AB328" s="1">
        <v>-3277</v>
      </c>
      <c r="AC328" s="1">
        <v>307279</v>
      </c>
      <c r="AD328" s="1">
        <v>551</v>
      </c>
      <c r="AE328" s="1">
        <f t="shared" si="25"/>
        <v>3455443</v>
      </c>
      <c r="AF328" s="9">
        <f t="shared" si="26"/>
        <v>7.6142480139304858E-2</v>
      </c>
      <c r="AG328" s="9">
        <f t="shared" si="27"/>
        <v>3.518217490492536E-3</v>
      </c>
      <c r="AH328" s="9">
        <f t="shared" si="28"/>
        <v>9.9949557842511083E-3</v>
      </c>
      <c r="AI328" s="9">
        <f t="shared" si="29"/>
        <v>0</v>
      </c>
      <c r="AJ328" s="1" t="str">
        <f>IF(VLOOKUP(A328,Hospital!A:C,3,FALSE)="H","Hospital","Freestanding")</f>
        <v>Freestanding</v>
      </c>
      <c r="AK328" s="1">
        <v>2024</v>
      </c>
    </row>
    <row r="329" spans="1:37">
      <c r="A329" s="1">
        <v>87001</v>
      </c>
      <c r="B329" s="1" t="s">
        <v>494</v>
      </c>
      <c r="C329" s="1">
        <v>125224</v>
      </c>
      <c r="D329" s="1">
        <v>67</v>
      </c>
      <c r="E329" s="1">
        <v>34759</v>
      </c>
      <c r="F329" s="1">
        <v>0</v>
      </c>
      <c r="G329" s="1">
        <v>133968</v>
      </c>
      <c r="H329" s="1">
        <v>130034</v>
      </c>
      <c r="I329" s="1">
        <v>247826</v>
      </c>
      <c r="J329" s="1">
        <v>343173</v>
      </c>
      <c r="K329" s="1">
        <v>199001</v>
      </c>
      <c r="L329" s="1">
        <v>0</v>
      </c>
      <c r="M329" s="1">
        <v>0</v>
      </c>
      <c r="N329" s="1">
        <v>82826</v>
      </c>
      <c r="O329" s="1">
        <v>90245</v>
      </c>
      <c r="P329" s="1">
        <v>-116</v>
      </c>
      <c r="Q329" s="1">
        <v>0</v>
      </c>
      <c r="R329" s="1">
        <v>-15347</v>
      </c>
      <c r="S329" s="1">
        <v>0</v>
      </c>
      <c r="T329" s="1">
        <v>0</v>
      </c>
      <c r="U329" s="1">
        <v>181377</v>
      </c>
      <c r="V329" s="1">
        <v>375</v>
      </c>
      <c r="W329" s="1">
        <v>38865</v>
      </c>
      <c r="X329" s="1">
        <v>0</v>
      </c>
      <c r="Y329" s="1">
        <v>46045</v>
      </c>
      <c r="Z329" s="1">
        <v>-134</v>
      </c>
      <c r="AA329" s="1">
        <v>87066</v>
      </c>
      <c r="AB329" s="1">
        <v>209</v>
      </c>
      <c r="AC329" s="1">
        <v>70264</v>
      </c>
      <c r="AD329" s="1">
        <v>6788</v>
      </c>
      <c r="AE329" s="1">
        <f t="shared" si="25"/>
        <v>1642465</v>
      </c>
      <c r="AF329" s="9">
        <f t="shared" si="26"/>
        <v>7.6241502863074712E-2</v>
      </c>
      <c r="AG329" s="9">
        <f t="shared" si="27"/>
        <v>4.0792345651201094E-5</v>
      </c>
      <c r="AH329" s="9">
        <f t="shared" si="28"/>
        <v>2.1162703619255204E-2</v>
      </c>
      <c r="AI329" s="9">
        <f t="shared" si="29"/>
        <v>0</v>
      </c>
      <c r="AJ329" s="1" t="str">
        <f>IF(VLOOKUP(A329,Hospital!A:C,3,FALSE)="H","Hospital","Freestanding")</f>
        <v>Freestanding</v>
      </c>
      <c r="AK329" s="1">
        <v>2024</v>
      </c>
    </row>
    <row r="330" spans="1:37">
      <c r="A330" s="1">
        <v>87002</v>
      </c>
      <c r="B330" s="1" t="s">
        <v>495</v>
      </c>
      <c r="C330" s="1">
        <v>0</v>
      </c>
      <c r="D330" s="1">
        <v>0</v>
      </c>
      <c r="E330" s="1">
        <v>0</v>
      </c>
      <c r="F330" s="1">
        <v>0</v>
      </c>
      <c r="G330" s="1">
        <v>247676</v>
      </c>
      <c r="H330" s="1">
        <v>407209</v>
      </c>
      <c r="I330" s="1">
        <v>298022</v>
      </c>
      <c r="J330" s="1">
        <v>603108</v>
      </c>
      <c r="K330" s="1">
        <v>392144</v>
      </c>
      <c r="L330" s="1">
        <v>0</v>
      </c>
      <c r="M330" s="1">
        <v>0</v>
      </c>
      <c r="N330" s="1">
        <v>67750</v>
      </c>
      <c r="O330" s="1">
        <v>118976</v>
      </c>
      <c r="P330" s="1">
        <v>0</v>
      </c>
      <c r="Q330" s="1">
        <v>0</v>
      </c>
      <c r="R330" s="1">
        <v>-16640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131092</v>
      </c>
      <c r="Z330" s="1">
        <v>0</v>
      </c>
      <c r="AA330" s="1">
        <v>0</v>
      </c>
      <c r="AB330" s="1">
        <v>0</v>
      </c>
      <c r="AC330" s="1">
        <v>0</v>
      </c>
      <c r="AD330" s="1">
        <v>771</v>
      </c>
      <c r="AE330" s="1">
        <f t="shared" si="25"/>
        <v>2250108</v>
      </c>
      <c r="AF330" s="9">
        <f t="shared" si="26"/>
        <v>0</v>
      </c>
      <c r="AG330" s="9">
        <f t="shared" si="27"/>
        <v>0</v>
      </c>
      <c r="AH330" s="9">
        <f t="shared" si="28"/>
        <v>0</v>
      </c>
      <c r="AI330" s="9">
        <f t="shared" si="29"/>
        <v>0</v>
      </c>
      <c r="AJ330" s="1" t="str">
        <f>IF(VLOOKUP(A330,Hospital!A:C,3,FALSE)="H","Hospital","Freestanding")</f>
        <v>Hospital</v>
      </c>
      <c r="AK330" s="1">
        <v>2024</v>
      </c>
    </row>
    <row r="331" spans="1:37">
      <c r="A331" s="1">
        <v>87003</v>
      </c>
      <c r="B331" s="1" t="s">
        <v>496</v>
      </c>
      <c r="C331" s="1">
        <v>0</v>
      </c>
      <c r="D331" s="1">
        <v>0</v>
      </c>
      <c r="E331" s="1">
        <v>0</v>
      </c>
      <c r="F331" s="1">
        <v>0</v>
      </c>
      <c r="G331" s="1">
        <v>123416</v>
      </c>
      <c r="H331" s="1">
        <v>651631</v>
      </c>
      <c r="I331" s="1">
        <v>208613</v>
      </c>
      <c r="J331" s="1">
        <v>1132358</v>
      </c>
      <c r="K331" s="1">
        <v>151633</v>
      </c>
      <c r="L331" s="1">
        <v>9438</v>
      </c>
      <c r="M331" s="1">
        <v>0</v>
      </c>
      <c r="N331" s="1">
        <v>61771</v>
      </c>
      <c r="O331" s="1">
        <v>80239</v>
      </c>
      <c r="P331" s="1">
        <v>0</v>
      </c>
      <c r="Q331" s="1">
        <v>10356</v>
      </c>
      <c r="R331" s="1">
        <v>-7070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f t="shared" si="25"/>
        <v>2422385</v>
      </c>
      <c r="AF331" s="9">
        <f t="shared" si="26"/>
        <v>0</v>
      </c>
      <c r="AG331" s="9">
        <f t="shared" si="27"/>
        <v>0</v>
      </c>
      <c r="AH331" s="9">
        <f t="shared" si="28"/>
        <v>0</v>
      </c>
      <c r="AI331" s="9">
        <f t="shared" si="29"/>
        <v>0</v>
      </c>
      <c r="AJ331" s="1" t="str">
        <f>IF(VLOOKUP(A331,Hospital!A:C,3,FALSE)="H","Hospital","Freestanding")</f>
        <v>Hospital</v>
      </c>
      <c r="AK331" s="1">
        <v>2024</v>
      </c>
    </row>
    <row r="332" spans="1:37">
      <c r="AF332" s="9"/>
      <c r="AG332" s="9"/>
      <c r="AH332" s="9"/>
      <c r="AI332" s="9"/>
    </row>
    <row r="333" spans="1:37">
      <c r="AF333" s="10"/>
      <c r="AG333" s="10"/>
      <c r="AH333" s="10"/>
      <c r="AI333" s="10"/>
    </row>
    <row r="334" spans="1:37">
      <c r="AE334" s="36" t="s">
        <v>497</v>
      </c>
      <c r="AF334" s="37">
        <f>AVERAGEIF(AF3:AF331,"&lt;&gt;"&amp;0,AF3:AF331)</f>
        <v>7.4071333244897217E-2</v>
      </c>
      <c r="AG334" s="37">
        <f t="shared" ref="AG334:AI334" si="30">AVERAGEIF(AG3:AG331,"&lt;&gt;"&amp;0,AG3:AG331)</f>
        <v>4.3268038322114124E-3</v>
      </c>
      <c r="AH334" s="37">
        <f t="shared" si="30"/>
        <v>1.6956980850016554E-2</v>
      </c>
      <c r="AI334" s="37">
        <f t="shared" si="30"/>
        <v>1.8129407819940473E-2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67F30-7E4A-4575-9F77-1542C5EC744A}">
  <dimension ref="A1:D343"/>
  <sheetViews>
    <sheetView topLeftCell="A253" workbookViewId="0">
      <selection activeCell="P22" sqref="P22"/>
    </sheetView>
  </sheetViews>
  <sheetFormatPr defaultRowHeight="14.45"/>
  <cols>
    <col min="2" max="2" width="54.28515625" bestFit="1" customWidth="1"/>
    <col min="3" max="3" width="22.7109375" customWidth="1"/>
    <col min="4" max="4" width="16.7109375" customWidth="1"/>
    <col min="5" max="5" width="41.28515625" customWidth="1"/>
  </cols>
  <sheetData>
    <row r="1" spans="1:4">
      <c r="A1" s="40" t="s">
        <v>131</v>
      </c>
      <c r="B1" s="40" t="s">
        <v>132</v>
      </c>
      <c r="C1" s="41" t="s">
        <v>498</v>
      </c>
      <c r="D1" s="1"/>
    </row>
    <row r="2" spans="1:4">
      <c r="A2" s="1">
        <v>1001</v>
      </c>
      <c r="B2" s="1" t="s">
        <v>499</v>
      </c>
      <c r="C2" s="1" t="s">
        <v>500</v>
      </c>
      <c r="D2" s="1" t="s">
        <v>76</v>
      </c>
    </row>
    <row r="3" spans="1:4">
      <c r="A3" s="1">
        <v>1002</v>
      </c>
      <c r="B3" s="1" t="s">
        <v>501</v>
      </c>
      <c r="C3" s="1" t="s">
        <v>500</v>
      </c>
      <c r="D3" s="1" t="s">
        <v>72</v>
      </c>
    </row>
    <row r="4" spans="1:4">
      <c r="A4" s="1">
        <v>2001</v>
      </c>
      <c r="B4" s="1" t="s">
        <v>502</v>
      </c>
      <c r="C4" s="1" t="s">
        <v>500</v>
      </c>
      <c r="D4" s="1" t="s">
        <v>98</v>
      </c>
    </row>
    <row r="5" spans="1:4">
      <c r="A5" s="1">
        <v>2002</v>
      </c>
      <c r="B5" s="1" t="s">
        <v>503</v>
      </c>
      <c r="C5" s="1" t="s">
        <v>500</v>
      </c>
      <c r="D5" s="1" t="s">
        <v>87</v>
      </c>
    </row>
    <row r="6" spans="1:4">
      <c r="A6" s="1">
        <v>2004</v>
      </c>
      <c r="B6" s="1" t="s">
        <v>504</v>
      </c>
      <c r="C6" s="1" t="s">
        <v>500</v>
      </c>
      <c r="D6" s="1" t="s">
        <v>110</v>
      </c>
    </row>
    <row r="7" spans="1:4">
      <c r="A7" s="1">
        <v>2005</v>
      </c>
      <c r="B7" s="1" t="s">
        <v>505</v>
      </c>
      <c r="C7" s="1" t="s">
        <v>500</v>
      </c>
      <c r="D7" s="1" t="s">
        <v>110</v>
      </c>
    </row>
    <row r="8" spans="1:4">
      <c r="A8" s="1">
        <v>2006</v>
      </c>
      <c r="B8" s="1" t="s">
        <v>174</v>
      </c>
      <c r="C8" s="1" t="s">
        <v>500</v>
      </c>
      <c r="D8" s="1" t="s">
        <v>76</v>
      </c>
    </row>
    <row r="9" spans="1:4">
      <c r="A9" s="1">
        <v>3001</v>
      </c>
      <c r="B9" s="1" t="s">
        <v>506</v>
      </c>
      <c r="C9" s="1" t="s">
        <v>500</v>
      </c>
      <c r="D9" s="1" t="s">
        <v>81</v>
      </c>
    </row>
    <row r="10" spans="1:4">
      <c r="A10" s="1">
        <v>3002</v>
      </c>
      <c r="B10" s="1" t="s">
        <v>176</v>
      </c>
      <c r="C10" s="1" t="s">
        <v>500</v>
      </c>
      <c r="D10" s="1" t="s">
        <v>102</v>
      </c>
    </row>
    <row r="11" spans="1:4">
      <c r="A11" s="1">
        <v>3003</v>
      </c>
      <c r="B11" s="1" t="s">
        <v>177</v>
      </c>
      <c r="C11" s="1" t="s">
        <v>507</v>
      </c>
      <c r="D11" s="1" t="s">
        <v>87</v>
      </c>
    </row>
    <row r="12" spans="1:4">
      <c r="A12" s="1">
        <v>3004</v>
      </c>
      <c r="B12" s="1" t="s">
        <v>178</v>
      </c>
      <c r="C12" s="1" t="s">
        <v>500</v>
      </c>
      <c r="D12" s="1" t="s">
        <v>81</v>
      </c>
    </row>
    <row r="13" spans="1:4">
      <c r="A13" s="1">
        <v>4001</v>
      </c>
      <c r="B13" s="1" t="s">
        <v>508</v>
      </c>
      <c r="C13" s="1" t="s">
        <v>500</v>
      </c>
      <c r="D13" s="1" t="s">
        <v>87</v>
      </c>
    </row>
    <row r="14" spans="1:4">
      <c r="A14" s="1">
        <v>4003</v>
      </c>
      <c r="B14" s="1" t="s">
        <v>180</v>
      </c>
      <c r="C14" s="1" t="s">
        <v>500</v>
      </c>
      <c r="D14" s="1" t="s">
        <v>72</v>
      </c>
    </row>
    <row r="15" spans="1:4">
      <c r="A15" s="1">
        <v>4004</v>
      </c>
      <c r="B15" s="1" t="s">
        <v>181</v>
      </c>
      <c r="C15" s="1" t="s">
        <v>500</v>
      </c>
      <c r="D15" s="1" t="s">
        <v>72</v>
      </c>
    </row>
    <row r="16" spans="1:4">
      <c r="A16" s="1">
        <v>5001</v>
      </c>
      <c r="B16" s="1" t="s">
        <v>509</v>
      </c>
      <c r="C16" s="1" t="s">
        <v>500</v>
      </c>
      <c r="D16" s="1" t="s">
        <v>110</v>
      </c>
    </row>
    <row r="17" spans="1:4">
      <c r="A17" s="1">
        <v>5002</v>
      </c>
      <c r="B17" s="1" t="s">
        <v>510</v>
      </c>
      <c r="C17" s="1" t="s">
        <v>500</v>
      </c>
      <c r="D17" s="1" t="s">
        <v>98</v>
      </c>
    </row>
    <row r="18" spans="1:4">
      <c r="A18" s="1">
        <v>5003</v>
      </c>
      <c r="B18" s="1" t="s">
        <v>184</v>
      </c>
      <c r="C18" s="1" t="s">
        <v>500</v>
      </c>
      <c r="D18" s="1" t="s">
        <v>72</v>
      </c>
    </row>
    <row r="19" spans="1:4">
      <c r="A19" s="1">
        <v>6001</v>
      </c>
      <c r="B19" s="1" t="s">
        <v>511</v>
      </c>
      <c r="C19" s="1" t="s">
        <v>507</v>
      </c>
      <c r="D19" s="1" t="s">
        <v>87</v>
      </c>
    </row>
    <row r="20" spans="1:4">
      <c r="A20" s="1">
        <v>6003</v>
      </c>
      <c r="B20" s="1" t="s">
        <v>512</v>
      </c>
      <c r="C20" s="1" t="s">
        <v>507</v>
      </c>
      <c r="D20" s="1" t="s">
        <v>93</v>
      </c>
    </row>
    <row r="21" spans="1:4">
      <c r="A21" s="1">
        <v>7001</v>
      </c>
      <c r="B21" s="1" t="s">
        <v>187</v>
      </c>
      <c r="C21" s="1" t="s">
        <v>500</v>
      </c>
      <c r="D21" s="1" t="s">
        <v>81</v>
      </c>
    </row>
    <row r="22" spans="1:4">
      <c r="A22" s="1">
        <v>7002</v>
      </c>
      <c r="B22" s="1" t="s">
        <v>513</v>
      </c>
      <c r="C22" s="1" t="s">
        <v>500</v>
      </c>
      <c r="D22" s="1" t="s">
        <v>110</v>
      </c>
    </row>
    <row r="23" spans="1:4">
      <c r="A23" s="1">
        <v>7003</v>
      </c>
      <c r="B23" s="1" t="s">
        <v>189</v>
      </c>
      <c r="C23" s="1" t="s">
        <v>500</v>
      </c>
      <c r="D23" s="1" t="s">
        <v>66</v>
      </c>
    </row>
    <row r="24" spans="1:4">
      <c r="A24" s="1">
        <v>7004</v>
      </c>
      <c r="B24" s="1" t="s">
        <v>514</v>
      </c>
      <c r="C24" s="1" t="s">
        <v>500</v>
      </c>
      <c r="D24" s="1" t="s">
        <v>110</v>
      </c>
    </row>
    <row r="25" spans="1:4">
      <c r="A25" s="1">
        <v>7005</v>
      </c>
      <c r="B25" s="1" t="s">
        <v>515</v>
      </c>
      <c r="C25" s="1" t="s">
        <v>500</v>
      </c>
      <c r="D25" s="1" t="s">
        <v>110</v>
      </c>
    </row>
    <row r="26" spans="1:4">
      <c r="A26" s="1">
        <v>8001</v>
      </c>
      <c r="B26" s="1" t="s">
        <v>192</v>
      </c>
      <c r="C26" s="1" t="s">
        <v>500</v>
      </c>
      <c r="D26" s="1" t="s">
        <v>76</v>
      </c>
    </row>
    <row r="27" spans="1:4">
      <c r="A27" s="1">
        <v>8002</v>
      </c>
      <c r="B27" s="1" t="s">
        <v>516</v>
      </c>
      <c r="C27" s="1" t="s">
        <v>500</v>
      </c>
      <c r="D27" s="1" t="s">
        <v>98</v>
      </c>
    </row>
    <row r="28" spans="1:4">
      <c r="A28" s="1">
        <v>8003</v>
      </c>
      <c r="B28" s="1" t="s">
        <v>517</v>
      </c>
      <c r="C28" s="1" t="s">
        <v>500</v>
      </c>
      <c r="D28" s="1" t="s">
        <v>66</v>
      </c>
    </row>
    <row r="29" spans="1:4">
      <c r="A29" s="1">
        <v>8004</v>
      </c>
      <c r="B29" s="1" t="s">
        <v>518</v>
      </c>
      <c r="C29" s="1" t="s">
        <v>500</v>
      </c>
      <c r="D29" s="1" t="s">
        <v>87</v>
      </c>
    </row>
    <row r="30" spans="1:4">
      <c r="A30" s="1">
        <v>9003</v>
      </c>
      <c r="B30" s="1" t="s">
        <v>519</v>
      </c>
      <c r="C30" s="1" t="s">
        <v>500</v>
      </c>
      <c r="D30" s="1" t="s">
        <v>72</v>
      </c>
    </row>
    <row r="31" spans="1:4">
      <c r="A31" s="1">
        <v>9004</v>
      </c>
      <c r="B31" s="1" t="s">
        <v>520</v>
      </c>
      <c r="C31" s="1" t="s">
        <v>500</v>
      </c>
      <c r="D31" s="1" t="s">
        <v>72</v>
      </c>
    </row>
    <row r="32" spans="1:4">
      <c r="A32" s="1">
        <v>10001</v>
      </c>
      <c r="B32" s="1" t="s">
        <v>521</v>
      </c>
      <c r="C32" s="1" t="s">
        <v>500</v>
      </c>
      <c r="D32" s="1" t="s">
        <v>72</v>
      </c>
    </row>
    <row r="33" spans="1:4">
      <c r="A33" s="1">
        <v>10002</v>
      </c>
      <c r="B33" s="1" t="s">
        <v>522</v>
      </c>
      <c r="C33" s="1" t="s">
        <v>500</v>
      </c>
      <c r="D33" s="1" t="s">
        <v>87</v>
      </c>
    </row>
    <row r="34" spans="1:4">
      <c r="A34" s="1">
        <v>10003</v>
      </c>
      <c r="B34" s="1" t="s">
        <v>200</v>
      </c>
      <c r="C34" s="1" t="s">
        <v>500</v>
      </c>
      <c r="D34" s="1" t="s">
        <v>72</v>
      </c>
    </row>
    <row r="35" spans="1:4">
      <c r="A35" s="1">
        <v>11001</v>
      </c>
      <c r="B35" s="1" t="s">
        <v>523</v>
      </c>
      <c r="C35" s="1" t="s">
        <v>500</v>
      </c>
      <c r="D35" s="1" t="s">
        <v>87</v>
      </c>
    </row>
    <row r="36" spans="1:4">
      <c r="A36" s="1">
        <v>12001</v>
      </c>
      <c r="B36" s="1" t="s">
        <v>524</v>
      </c>
      <c r="C36" s="1" t="s">
        <v>500</v>
      </c>
      <c r="D36" s="1" t="s">
        <v>66</v>
      </c>
    </row>
    <row r="37" spans="1:4">
      <c r="A37" s="1">
        <v>12002</v>
      </c>
      <c r="B37" s="1" t="s">
        <v>203</v>
      </c>
      <c r="C37" s="1" t="s">
        <v>500</v>
      </c>
      <c r="D37" s="1" t="s">
        <v>81</v>
      </c>
    </row>
    <row r="38" spans="1:4">
      <c r="A38" s="1">
        <v>13001</v>
      </c>
      <c r="B38" s="1" t="s">
        <v>525</v>
      </c>
      <c r="C38" s="1" t="s">
        <v>500</v>
      </c>
      <c r="D38" s="1" t="s">
        <v>110</v>
      </c>
    </row>
    <row r="39" spans="1:4">
      <c r="A39" s="1">
        <v>13003</v>
      </c>
      <c r="B39" s="1" t="s">
        <v>526</v>
      </c>
      <c r="C39" s="1" t="s">
        <v>500</v>
      </c>
      <c r="D39" s="1" t="s">
        <v>110</v>
      </c>
    </row>
    <row r="40" spans="1:4">
      <c r="A40" s="1">
        <v>13004</v>
      </c>
      <c r="B40" s="1" t="s">
        <v>527</v>
      </c>
      <c r="C40" s="1" t="s">
        <v>500</v>
      </c>
      <c r="D40" s="1" t="s">
        <v>81</v>
      </c>
    </row>
    <row r="41" spans="1:4">
      <c r="A41" s="1">
        <v>13005</v>
      </c>
      <c r="B41" s="1" t="s">
        <v>528</v>
      </c>
      <c r="C41" s="1" t="s">
        <v>500</v>
      </c>
      <c r="D41" s="1" t="s">
        <v>93</v>
      </c>
    </row>
    <row r="42" spans="1:4">
      <c r="A42" s="1">
        <v>14001</v>
      </c>
      <c r="B42" s="1" t="s">
        <v>208</v>
      </c>
      <c r="C42" s="1" t="s">
        <v>500</v>
      </c>
      <c r="D42" s="1" t="s">
        <v>66</v>
      </c>
    </row>
    <row r="43" spans="1:4">
      <c r="A43" s="1">
        <v>14002</v>
      </c>
      <c r="B43" s="1" t="s">
        <v>209</v>
      </c>
      <c r="C43" s="1" t="s">
        <v>500</v>
      </c>
      <c r="D43" s="1" t="s">
        <v>72</v>
      </c>
    </row>
    <row r="44" spans="1:4">
      <c r="A44" s="1">
        <v>14004</v>
      </c>
      <c r="B44" s="1" t="s">
        <v>529</v>
      </c>
      <c r="C44" s="1" t="s">
        <v>500</v>
      </c>
      <c r="D44" s="1" t="s">
        <v>76</v>
      </c>
    </row>
    <row r="45" spans="1:4">
      <c r="A45" s="1">
        <v>15002</v>
      </c>
      <c r="B45" s="1" t="s">
        <v>530</v>
      </c>
      <c r="C45" s="1" t="s">
        <v>500</v>
      </c>
      <c r="D45" s="1" t="s">
        <v>66</v>
      </c>
    </row>
    <row r="46" spans="1:4">
      <c r="A46" s="1">
        <v>16001</v>
      </c>
      <c r="B46" s="1" t="s">
        <v>531</v>
      </c>
      <c r="C46" s="1" t="s">
        <v>507</v>
      </c>
      <c r="D46" s="1" t="s">
        <v>87</v>
      </c>
    </row>
    <row r="47" spans="1:4">
      <c r="A47" s="1">
        <v>17001</v>
      </c>
      <c r="B47" s="1" t="s">
        <v>532</v>
      </c>
      <c r="C47" s="1" t="s">
        <v>500</v>
      </c>
      <c r="D47" s="1" t="s">
        <v>87</v>
      </c>
    </row>
    <row r="48" spans="1:4">
      <c r="A48" s="1">
        <v>17003</v>
      </c>
      <c r="B48" s="1" t="s">
        <v>533</v>
      </c>
      <c r="C48" s="1" t="s">
        <v>500</v>
      </c>
      <c r="D48" s="1" t="s">
        <v>87</v>
      </c>
    </row>
    <row r="49" spans="1:4">
      <c r="A49" s="1">
        <v>17004</v>
      </c>
      <c r="B49" s="1" t="s">
        <v>534</v>
      </c>
      <c r="C49" s="1" t="s">
        <v>500</v>
      </c>
      <c r="D49" s="1" t="s">
        <v>87</v>
      </c>
    </row>
    <row r="50" spans="1:4">
      <c r="A50" s="1">
        <v>18001</v>
      </c>
      <c r="B50" s="1" t="s">
        <v>535</v>
      </c>
      <c r="C50" s="1" t="s">
        <v>500</v>
      </c>
      <c r="D50" s="1" t="s">
        <v>87</v>
      </c>
    </row>
    <row r="51" spans="1:4">
      <c r="A51" s="1">
        <v>18002</v>
      </c>
      <c r="B51" s="1" t="s">
        <v>217</v>
      </c>
      <c r="C51" s="1" t="s">
        <v>507</v>
      </c>
      <c r="D51" s="1" t="s">
        <v>93</v>
      </c>
    </row>
    <row r="52" spans="1:4">
      <c r="A52" s="1">
        <v>18003</v>
      </c>
      <c r="B52" s="1" t="s">
        <v>536</v>
      </c>
      <c r="C52" s="1" t="s">
        <v>500</v>
      </c>
      <c r="D52" s="1" t="s">
        <v>87</v>
      </c>
    </row>
    <row r="53" spans="1:4">
      <c r="A53" s="1">
        <v>19001</v>
      </c>
      <c r="B53" s="1" t="s">
        <v>537</v>
      </c>
      <c r="C53" s="1" t="s">
        <v>500</v>
      </c>
      <c r="D53" s="1" t="s">
        <v>93</v>
      </c>
    </row>
    <row r="54" spans="1:4">
      <c r="A54" s="1">
        <v>19002</v>
      </c>
      <c r="B54" s="1" t="s">
        <v>538</v>
      </c>
      <c r="C54" s="1" t="s">
        <v>500</v>
      </c>
      <c r="D54" s="1" t="s">
        <v>110</v>
      </c>
    </row>
    <row r="55" spans="1:4">
      <c r="A55" s="1">
        <v>19003</v>
      </c>
      <c r="B55" s="1" t="s">
        <v>221</v>
      </c>
      <c r="C55" s="1" t="s">
        <v>500</v>
      </c>
      <c r="D55" s="1" t="s">
        <v>76</v>
      </c>
    </row>
    <row r="56" spans="1:4">
      <c r="A56" s="1">
        <v>19005</v>
      </c>
      <c r="B56" s="1" t="s">
        <v>539</v>
      </c>
      <c r="C56" s="1" t="s">
        <v>500</v>
      </c>
      <c r="D56" s="1" t="s">
        <v>76</v>
      </c>
    </row>
    <row r="57" spans="1:4">
      <c r="A57" s="1">
        <v>19007</v>
      </c>
      <c r="B57" s="1" t="s">
        <v>540</v>
      </c>
      <c r="C57" s="1" t="s">
        <v>500</v>
      </c>
      <c r="D57" s="1" t="s">
        <v>72</v>
      </c>
    </row>
    <row r="58" spans="1:4">
      <c r="A58" s="1">
        <v>19008</v>
      </c>
      <c r="B58" s="1" t="s">
        <v>224</v>
      </c>
      <c r="C58" s="1" t="s">
        <v>500</v>
      </c>
      <c r="D58" s="1" t="s">
        <v>102</v>
      </c>
    </row>
    <row r="59" spans="1:4">
      <c r="A59" s="1">
        <v>19009</v>
      </c>
      <c r="B59" s="1" t="s">
        <v>541</v>
      </c>
      <c r="C59" s="1" t="s">
        <v>500</v>
      </c>
      <c r="D59" s="1" t="s">
        <v>87</v>
      </c>
    </row>
    <row r="60" spans="1:4">
      <c r="A60" s="1">
        <v>19010</v>
      </c>
      <c r="B60" s="1" t="s">
        <v>542</v>
      </c>
      <c r="C60" s="1" t="s">
        <v>500</v>
      </c>
      <c r="D60" s="1" t="s">
        <v>72</v>
      </c>
    </row>
    <row r="61" spans="1:4">
      <c r="A61" s="1">
        <v>20001</v>
      </c>
      <c r="B61" s="1" t="s">
        <v>227</v>
      </c>
      <c r="C61" s="1" t="s">
        <v>500</v>
      </c>
      <c r="D61" s="1" t="s">
        <v>81</v>
      </c>
    </row>
    <row r="62" spans="1:4">
      <c r="A62" s="1">
        <v>20002</v>
      </c>
      <c r="B62" s="1" t="s">
        <v>228</v>
      </c>
      <c r="C62" s="1" t="s">
        <v>500</v>
      </c>
      <c r="D62" s="1" t="s">
        <v>66</v>
      </c>
    </row>
    <row r="63" spans="1:4">
      <c r="A63" s="1">
        <v>21001</v>
      </c>
      <c r="B63" s="1" t="s">
        <v>229</v>
      </c>
      <c r="C63" s="1" t="s">
        <v>500</v>
      </c>
      <c r="D63" s="1" t="s">
        <v>76</v>
      </c>
    </row>
    <row r="64" spans="1:4">
      <c r="A64" s="1">
        <v>21002</v>
      </c>
      <c r="B64" s="1" t="s">
        <v>230</v>
      </c>
      <c r="C64" s="1" t="s">
        <v>500</v>
      </c>
      <c r="D64" s="1" t="s">
        <v>98</v>
      </c>
    </row>
    <row r="65" spans="1:4">
      <c r="A65" s="1">
        <v>21003</v>
      </c>
      <c r="B65" s="1" t="s">
        <v>231</v>
      </c>
      <c r="C65" s="1" t="s">
        <v>500</v>
      </c>
      <c r="D65" s="1" t="s">
        <v>110</v>
      </c>
    </row>
    <row r="66" spans="1:4">
      <c r="A66" s="1">
        <v>21004</v>
      </c>
      <c r="B66" s="1" t="s">
        <v>543</v>
      </c>
      <c r="C66" s="1" t="s">
        <v>500</v>
      </c>
      <c r="D66" s="1" t="s">
        <v>66</v>
      </c>
    </row>
    <row r="67" spans="1:4">
      <c r="A67" s="1">
        <v>22001</v>
      </c>
      <c r="B67" s="1" t="s">
        <v>544</v>
      </c>
      <c r="C67" s="1" t="s">
        <v>500</v>
      </c>
      <c r="D67" s="1" t="s">
        <v>72</v>
      </c>
    </row>
    <row r="68" spans="1:4">
      <c r="A68" s="1">
        <v>22003</v>
      </c>
      <c r="B68" s="1" t="s">
        <v>545</v>
      </c>
      <c r="C68" s="1" t="s">
        <v>500</v>
      </c>
      <c r="D68" s="1" t="s">
        <v>76</v>
      </c>
    </row>
    <row r="69" spans="1:4">
      <c r="A69" s="1">
        <v>23001</v>
      </c>
      <c r="B69" s="1" t="s">
        <v>546</v>
      </c>
      <c r="C69" s="1" t="s">
        <v>500</v>
      </c>
      <c r="D69" s="1" t="s">
        <v>81</v>
      </c>
    </row>
    <row r="70" spans="1:4">
      <c r="A70" s="1">
        <v>23002</v>
      </c>
      <c r="B70" s="1" t="s">
        <v>547</v>
      </c>
      <c r="C70" s="1" t="s">
        <v>500</v>
      </c>
      <c r="D70" s="1" t="s">
        <v>93</v>
      </c>
    </row>
    <row r="71" spans="1:4">
      <c r="A71" s="1">
        <v>23003</v>
      </c>
      <c r="B71" s="1" t="s">
        <v>184</v>
      </c>
      <c r="C71" s="1" t="s">
        <v>500</v>
      </c>
      <c r="D71" s="1" t="s">
        <v>66</v>
      </c>
    </row>
    <row r="72" spans="1:4">
      <c r="A72" s="1">
        <v>23004</v>
      </c>
      <c r="B72" s="1" t="s">
        <v>548</v>
      </c>
      <c r="C72" s="1" t="s">
        <v>500</v>
      </c>
      <c r="D72" s="1" t="s">
        <v>98</v>
      </c>
    </row>
    <row r="73" spans="1:4">
      <c r="A73" s="1">
        <v>23005</v>
      </c>
      <c r="B73" s="1" t="s">
        <v>549</v>
      </c>
      <c r="C73" s="1" t="s">
        <v>500</v>
      </c>
      <c r="D73" s="1" t="s">
        <v>76</v>
      </c>
    </row>
    <row r="74" spans="1:4">
      <c r="A74" s="1">
        <v>23007</v>
      </c>
      <c r="B74" s="1" t="s">
        <v>550</v>
      </c>
      <c r="C74" s="1" t="s">
        <v>500</v>
      </c>
      <c r="D74" s="1" t="s">
        <v>66</v>
      </c>
    </row>
    <row r="75" spans="1:4">
      <c r="A75" s="1">
        <v>24001</v>
      </c>
      <c r="B75" s="1" t="s">
        <v>551</v>
      </c>
      <c r="C75" s="1" t="s">
        <v>500</v>
      </c>
      <c r="D75" s="1" t="s">
        <v>87</v>
      </c>
    </row>
    <row r="76" spans="1:4">
      <c r="A76" s="1">
        <v>24004</v>
      </c>
      <c r="B76" s="1" t="s">
        <v>552</v>
      </c>
      <c r="C76" s="1" t="s">
        <v>500</v>
      </c>
      <c r="D76" s="1" t="s">
        <v>76</v>
      </c>
    </row>
    <row r="77" spans="1:4">
      <c r="A77" s="1">
        <v>24005</v>
      </c>
      <c r="B77" s="1" t="s">
        <v>553</v>
      </c>
      <c r="C77" s="1" t="s">
        <v>500</v>
      </c>
      <c r="D77" s="1" t="s">
        <v>98</v>
      </c>
    </row>
    <row r="78" spans="1:4">
      <c r="A78" s="1">
        <v>25003</v>
      </c>
      <c r="B78" s="1" t="s">
        <v>554</v>
      </c>
      <c r="C78" s="1" t="s">
        <v>507</v>
      </c>
      <c r="D78" s="1" t="s">
        <v>93</v>
      </c>
    </row>
    <row r="79" spans="1:4">
      <c r="A79" s="1">
        <v>25004</v>
      </c>
      <c r="B79" s="1" t="s">
        <v>555</v>
      </c>
      <c r="C79" s="1" t="s">
        <v>500</v>
      </c>
      <c r="D79" s="1" t="s">
        <v>114</v>
      </c>
    </row>
    <row r="80" spans="1:4">
      <c r="A80" s="1">
        <v>25005</v>
      </c>
      <c r="B80" s="1" t="s">
        <v>245</v>
      </c>
      <c r="C80" s="1" t="s">
        <v>500</v>
      </c>
      <c r="D80" s="1" t="s">
        <v>76</v>
      </c>
    </row>
    <row r="81" spans="1:4">
      <c r="A81" s="1">
        <v>25007</v>
      </c>
      <c r="B81" s="1" t="s">
        <v>556</v>
      </c>
      <c r="C81" s="1" t="s">
        <v>500</v>
      </c>
      <c r="D81" s="1" t="s">
        <v>102</v>
      </c>
    </row>
    <row r="82" spans="1:4">
      <c r="A82" s="1">
        <v>25008</v>
      </c>
      <c r="B82" s="1" t="s">
        <v>557</v>
      </c>
      <c r="C82" s="1" t="s">
        <v>500</v>
      </c>
      <c r="D82" s="1" t="s">
        <v>558</v>
      </c>
    </row>
    <row r="83" spans="1:4">
      <c r="A83" s="1">
        <v>26003</v>
      </c>
      <c r="B83" s="1" t="s">
        <v>248</v>
      </c>
      <c r="C83" s="1" t="s">
        <v>500</v>
      </c>
      <c r="D83" s="1" t="s">
        <v>81</v>
      </c>
    </row>
    <row r="84" spans="1:4">
      <c r="A84" s="1">
        <v>27001</v>
      </c>
      <c r="B84" s="1" t="s">
        <v>559</v>
      </c>
      <c r="C84" s="1" t="s">
        <v>500</v>
      </c>
      <c r="D84" s="1" t="s">
        <v>102</v>
      </c>
    </row>
    <row r="85" spans="1:4">
      <c r="A85" s="1">
        <v>27002</v>
      </c>
      <c r="B85" s="1" t="s">
        <v>560</v>
      </c>
      <c r="C85" s="1" t="s">
        <v>500</v>
      </c>
      <c r="D85" s="1" t="s">
        <v>72</v>
      </c>
    </row>
    <row r="86" spans="1:4">
      <c r="A86" s="1">
        <v>27004</v>
      </c>
      <c r="B86" s="1" t="s">
        <v>251</v>
      </c>
      <c r="C86" s="1" t="s">
        <v>500</v>
      </c>
      <c r="D86" s="1" t="s">
        <v>110</v>
      </c>
    </row>
    <row r="87" spans="1:4">
      <c r="A87" s="1">
        <v>27005</v>
      </c>
      <c r="B87" s="1" t="s">
        <v>252</v>
      </c>
      <c r="C87" s="1" t="s">
        <v>500</v>
      </c>
      <c r="D87" s="1" t="s">
        <v>93</v>
      </c>
    </row>
    <row r="88" spans="1:4">
      <c r="A88" s="1">
        <v>27007</v>
      </c>
      <c r="B88" s="1" t="s">
        <v>253</v>
      </c>
      <c r="C88" s="1" t="s">
        <v>500</v>
      </c>
      <c r="D88" s="1" t="s">
        <v>102</v>
      </c>
    </row>
    <row r="89" spans="1:4">
      <c r="A89" s="1">
        <v>27013</v>
      </c>
      <c r="B89" s="1" t="s">
        <v>561</v>
      </c>
      <c r="C89" s="1" t="s">
        <v>500</v>
      </c>
      <c r="D89" s="1" t="s">
        <v>87</v>
      </c>
    </row>
    <row r="90" spans="1:4">
      <c r="A90" s="1">
        <v>27014</v>
      </c>
      <c r="B90" s="1" t="s">
        <v>562</v>
      </c>
      <c r="C90" s="1" t="s">
        <v>500</v>
      </c>
      <c r="D90" s="1" t="s">
        <v>110</v>
      </c>
    </row>
    <row r="91" spans="1:4">
      <c r="A91" s="1">
        <v>27015</v>
      </c>
      <c r="B91" s="1" t="s">
        <v>563</v>
      </c>
      <c r="C91" s="1" t="s">
        <v>500</v>
      </c>
      <c r="D91" s="1" t="s">
        <v>110</v>
      </c>
    </row>
    <row r="92" spans="1:4">
      <c r="A92" s="1">
        <v>27017</v>
      </c>
      <c r="B92" s="1" t="s">
        <v>564</v>
      </c>
      <c r="C92" s="1" t="s">
        <v>500</v>
      </c>
      <c r="D92" s="1" t="s">
        <v>102</v>
      </c>
    </row>
    <row r="93" spans="1:4">
      <c r="A93" s="1">
        <v>27020</v>
      </c>
      <c r="B93" s="1" t="s">
        <v>565</v>
      </c>
      <c r="C93" s="1" t="s">
        <v>500</v>
      </c>
      <c r="D93" s="1" t="s">
        <v>93</v>
      </c>
    </row>
    <row r="94" spans="1:4">
      <c r="A94" s="1">
        <v>27021</v>
      </c>
      <c r="B94" s="1" t="s">
        <v>566</v>
      </c>
      <c r="C94" s="1" t="s">
        <v>500</v>
      </c>
      <c r="D94" s="1" t="s">
        <v>72</v>
      </c>
    </row>
    <row r="95" spans="1:4">
      <c r="A95" s="1">
        <v>27022</v>
      </c>
      <c r="B95" s="1" t="s">
        <v>567</v>
      </c>
      <c r="C95" s="1" t="s">
        <v>507</v>
      </c>
      <c r="D95" s="1" t="s">
        <v>87</v>
      </c>
    </row>
    <row r="96" spans="1:4">
      <c r="A96" s="1">
        <v>27025</v>
      </c>
      <c r="B96" s="1" t="s">
        <v>568</v>
      </c>
      <c r="C96" s="1" t="s">
        <v>500</v>
      </c>
      <c r="D96" s="1" t="s">
        <v>81</v>
      </c>
    </row>
    <row r="97" spans="1:4">
      <c r="A97" s="1">
        <v>27026</v>
      </c>
      <c r="B97" s="1" t="s">
        <v>569</v>
      </c>
      <c r="C97" s="1" t="s">
        <v>500</v>
      </c>
      <c r="D97" s="1" t="s">
        <v>72</v>
      </c>
    </row>
    <row r="98" spans="1:4">
      <c r="A98" s="1">
        <v>27027</v>
      </c>
      <c r="B98" s="1" t="s">
        <v>570</v>
      </c>
      <c r="C98" s="1" t="s">
        <v>500</v>
      </c>
      <c r="D98" s="1" t="s">
        <v>72</v>
      </c>
    </row>
    <row r="99" spans="1:4">
      <c r="A99" s="1">
        <v>27033</v>
      </c>
      <c r="B99" s="1" t="s">
        <v>264</v>
      </c>
      <c r="C99" s="1" t="s">
        <v>500</v>
      </c>
      <c r="D99" s="1" t="s">
        <v>93</v>
      </c>
    </row>
    <row r="100" spans="1:4">
      <c r="A100" s="1">
        <v>27034</v>
      </c>
      <c r="B100" s="1" t="s">
        <v>571</v>
      </c>
      <c r="C100" s="1" t="s">
        <v>500</v>
      </c>
      <c r="D100" s="1" t="s">
        <v>93</v>
      </c>
    </row>
    <row r="101" spans="1:4">
      <c r="A101" s="1">
        <v>27035</v>
      </c>
      <c r="B101" s="1" t="s">
        <v>572</v>
      </c>
      <c r="C101" s="1" t="s">
        <v>500</v>
      </c>
      <c r="D101" s="1" t="s">
        <v>87</v>
      </c>
    </row>
    <row r="102" spans="1:4">
      <c r="A102" s="1">
        <v>27037</v>
      </c>
      <c r="B102" s="1" t="s">
        <v>573</v>
      </c>
      <c r="C102" s="1" t="s">
        <v>500</v>
      </c>
      <c r="D102" s="1" t="s">
        <v>110</v>
      </c>
    </row>
    <row r="103" spans="1:4">
      <c r="A103" s="1">
        <v>27038</v>
      </c>
      <c r="B103" s="1" t="s">
        <v>574</v>
      </c>
      <c r="C103" s="1" t="s">
        <v>500</v>
      </c>
      <c r="D103" s="1" t="s">
        <v>93</v>
      </c>
    </row>
    <row r="104" spans="1:4">
      <c r="A104" s="1">
        <v>27039</v>
      </c>
      <c r="B104" s="1" t="s">
        <v>575</v>
      </c>
      <c r="C104" s="1" t="s">
        <v>500</v>
      </c>
      <c r="D104" s="1" t="s">
        <v>87</v>
      </c>
    </row>
    <row r="105" spans="1:4">
      <c r="A105" s="1">
        <v>27040</v>
      </c>
      <c r="B105" s="1" t="s">
        <v>576</v>
      </c>
      <c r="C105" s="1" t="s">
        <v>500</v>
      </c>
      <c r="D105" s="1" t="s">
        <v>72</v>
      </c>
    </row>
    <row r="106" spans="1:4">
      <c r="A106" s="1">
        <v>27041</v>
      </c>
      <c r="B106" s="1" t="s">
        <v>577</v>
      </c>
      <c r="C106" s="1" t="s">
        <v>500</v>
      </c>
      <c r="D106" s="1" t="s">
        <v>102</v>
      </c>
    </row>
    <row r="107" spans="1:4">
      <c r="A107" s="1">
        <v>27042</v>
      </c>
      <c r="B107" s="1" t="s">
        <v>578</v>
      </c>
      <c r="C107" s="1" t="s">
        <v>500</v>
      </c>
      <c r="D107" s="1" t="s">
        <v>98</v>
      </c>
    </row>
    <row r="108" spans="1:4">
      <c r="A108" s="1">
        <v>27044</v>
      </c>
      <c r="B108" s="1" t="s">
        <v>579</v>
      </c>
      <c r="C108" s="1" t="s">
        <v>500</v>
      </c>
      <c r="D108" s="1" t="s">
        <v>72</v>
      </c>
    </row>
    <row r="109" spans="1:4">
      <c r="A109" s="1">
        <v>27046</v>
      </c>
      <c r="B109" s="1" t="s">
        <v>580</v>
      </c>
      <c r="C109" s="1" t="s">
        <v>500</v>
      </c>
      <c r="D109" s="1" t="s">
        <v>102</v>
      </c>
    </row>
    <row r="110" spans="1:4">
      <c r="A110" s="1">
        <v>27049</v>
      </c>
      <c r="B110" s="1" t="s">
        <v>275</v>
      </c>
      <c r="C110" s="1" t="s">
        <v>500</v>
      </c>
      <c r="D110" s="1" t="s">
        <v>72</v>
      </c>
    </row>
    <row r="111" spans="1:4">
      <c r="A111" s="1">
        <v>27050</v>
      </c>
      <c r="B111" s="1" t="s">
        <v>276</v>
      </c>
      <c r="C111" s="1" t="s">
        <v>500</v>
      </c>
      <c r="D111" s="1" t="s">
        <v>81</v>
      </c>
    </row>
    <row r="112" spans="1:4">
      <c r="A112" s="1">
        <v>27052</v>
      </c>
      <c r="B112" s="1" t="s">
        <v>581</v>
      </c>
      <c r="C112" s="1" t="s">
        <v>500</v>
      </c>
      <c r="D112" s="1" t="s">
        <v>98</v>
      </c>
    </row>
    <row r="113" spans="1:4">
      <c r="A113" s="1">
        <v>27054</v>
      </c>
      <c r="B113" s="1" t="s">
        <v>278</v>
      </c>
      <c r="C113" s="1" t="s">
        <v>500</v>
      </c>
      <c r="D113" s="1" t="s">
        <v>72</v>
      </c>
    </row>
    <row r="114" spans="1:4">
      <c r="A114" s="1">
        <v>27055</v>
      </c>
      <c r="B114" s="1" t="s">
        <v>279</v>
      </c>
      <c r="C114" s="1" t="s">
        <v>500</v>
      </c>
      <c r="D114" s="1" t="s">
        <v>93</v>
      </c>
    </row>
    <row r="115" spans="1:4">
      <c r="A115" s="1">
        <v>27056</v>
      </c>
      <c r="B115" s="1" t="s">
        <v>582</v>
      </c>
      <c r="C115" s="1" t="s">
        <v>500</v>
      </c>
      <c r="D115" s="1" t="s">
        <v>93</v>
      </c>
    </row>
    <row r="116" spans="1:4">
      <c r="A116" s="1">
        <v>27057</v>
      </c>
      <c r="B116" s="1" t="s">
        <v>583</v>
      </c>
      <c r="C116" s="1" t="s">
        <v>500</v>
      </c>
      <c r="D116" s="1" t="s">
        <v>110</v>
      </c>
    </row>
    <row r="117" spans="1:4">
      <c r="A117" s="1">
        <v>27059</v>
      </c>
      <c r="B117" s="1" t="s">
        <v>584</v>
      </c>
      <c r="C117" s="1" t="s">
        <v>500</v>
      </c>
      <c r="D117" s="1" t="s">
        <v>93</v>
      </c>
    </row>
    <row r="118" spans="1:4">
      <c r="A118" s="1">
        <v>27060</v>
      </c>
      <c r="B118" s="1" t="s">
        <v>585</v>
      </c>
      <c r="C118" s="1" t="s">
        <v>500</v>
      </c>
      <c r="D118" s="1" t="s">
        <v>76</v>
      </c>
    </row>
    <row r="119" spans="1:4">
      <c r="A119" s="1">
        <v>27062</v>
      </c>
      <c r="B119" s="1" t="s">
        <v>284</v>
      </c>
      <c r="C119" s="1" t="s">
        <v>500</v>
      </c>
      <c r="D119" s="1" t="s">
        <v>93</v>
      </c>
    </row>
    <row r="120" spans="1:4">
      <c r="A120" s="1">
        <v>27063</v>
      </c>
      <c r="B120" s="1" t="s">
        <v>586</v>
      </c>
      <c r="C120" s="1" t="s">
        <v>500</v>
      </c>
      <c r="D120" s="1" t="s">
        <v>72</v>
      </c>
    </row>
    <row r="121" spans="1:4">
      <c r="A121" s="1">
        <v>27066</v>
      </c>
      <c r="B121" s="1" t="s">
        <v>286</v>
      </c>
      <c r="C121" s="1" t="s">
        <v>500</v>
      </c>
      <c r="D121" s="1" t="s">
        <v>81</v>
      </c>
    </row>
    <row r="122" spans="1:4">
      <c r="A122" s="1">
        <v>27067</v>
      </c>
      <c r="B122" s="1" t="s">
        <v>287</v>
      </c>
      <c r="C122" s="1" t="s">
        <v>500</v>
      </c>
      <c r="D122" s="1" t="s">
        <v>110</v>
      </c>
    </row>
    <row r="123" spans="1:4">
      <c r="A123" s="1">
        <v>27068</v>
      </c>
      <c r="B123" s="1" t="s">
        <v>587</v>
      </c>
      <c r="C123" s="1" t="s">
        <v>500</v>
      </c>
      <c r="D123" s="1" t="s">
        <v>76</v>
      </c>
    </row>
    <row r="124" spans="1:4">
      <c r="A124" s="1">
        <v>27070</v>
      </c>
      <c r="B124" s="1" t="s">
        <v>289</v>
      </c>
      <c r="C124" s="1" t="s">
        <v>500</v>
      </c>
      <c r="D124" s="1" t="s">
        <v>93</v>
      </c>
    </row>
    <row r="125" spans="1:4">
      <c r="A125" s="1">
        <v>27071</v>
      </c>
      <c r="B125" s="1" t="s">
        <v>588</v>
      </c>
      <c r="C125" s="1" t="s">
        <v>500</v>
      </c>
      <c r="D125" s="1" t="s">
        <v>66</v>
      </c>
    </row>
    <row r="126" spans="1:4">
      <c r="A126" s="1">
        <v>27072</v>
      </c>
      <c r="B126" s="1" t="s">
        <v>589</v>
      </c>
      <c r="C126" s="1" t="s">
        <v>500</v>
      </c>
      <c r="D126" s="1" t="s">
        <v>93</v>
      </c>
    </row>
    <row r="127" spans="1:4">
      <c r="A127" s="1">
        <v>27074</v>
      </c>
      <c r="B127" s="1" t="s">
        <v>590</v>
      </c>
      <c r="C127" s="1" t="s">
        <v>500</v>
      </c>
      <c r="D127" s="1" t="s">
        <v>81</v>
      </c>
    </row>
    <row r="128" spans="1:4">
      <c r="A128" s="1">
        <v>27075</v>
      </c>
      <c r="B128" s="1" t="s">
        <v>591</v>
      </c>
      <c r="C128" s="1" t="s">
        <v>500</v>
      </c>
      <c r="D128" s="1" t="s">
        <v>72</v>
      </c>
    </row>
    <row r="129" spans="1:4">
      <c r="A129" s="1">
        <v>27076</v>
      </c>
      <c r="B129" s="1" t="s">
        <v>592</v>
      </c>
      <c r="C129" s="1" t="s">
        <v>500</v>
      </c>
      <c r="D129" s="1" t="s">
        <v>93</v>
      </c>
    </row>
    <row r="130" spans="1:4">
      <c r="A130" s="1">
        <v>27077</v>
      </c>
      <c r="B130" s="1" t="s">
        <v>593</v>
      </c>
      <c r="C130" s="1" t="s">
        <v>500</v>
      </c>
      <c r="D130" s="1" t="s">
        <v>110</v>
      </c>
    </row>
    <row r="131" spans="1:4">
      <c r="A131" s="1">
        <v>27090</v>
      </c>
      <c r="B131" s="1" t="s">
        <v>296</v>
      </c>
      <c r="C131" s="1" t="s">
        <v>500</v>
      </c>
      <c r="D131" s="1" t="s">
        <v>87</v>
      </c>
    </row>
    <row r="132" spans="1:4">
      <c r="A132" s="1">
        <v>27092</v>
      </c>
      <c r="B132" s="1" t="s">
        <v>297</v>
      </c>
      <c r="C132" s="1" t="s">
        <v>500</v>
      </c>
      <c r="D132" s="1" t="s">
        <v>72</v>
      </c>
    </row>
    <row r="133" spans="1:4">
      <c r="A133" s="1">
        <v>27093</v>
      </c>
      <c r="B133" s="1" t="s">
        <v>594</v>
      </c>
      <c r="C133" s="1" t="s">
        <v>500</v>
      </c>
      <c r="D133" s="1" t="s">
        <v>87</v>
      </c>
    </row>
    <row r="134" spans="1:4">
      <c r="A134" s="1">
        <v>27095</v>
      </c>
      <c r="B134" s="1" t="s">
        <v>299</v>
      </c>
      <c r="C134" s="1" t="s">
        <v>500</v>
      </c>
      <c r="D134" s="1" t="s">
        <v>93</v>
      </c>
    </row>
    <row r="135" spans="1:4">
      <c r="A135" s="1">
        <v>28001</v>
      </c>
      <c r="B135" s="1" t="s">
        <v>595</v>
      </c>
      <c r="C135" s="1" t="s">
        <v>500</v>
      </c>
      <c r="D135" s="1" t="s">
        <v>98</v>
      </c>
    </row>
    <row r="136" spans="1:4">
      <c r="A136" s="1">
        <v>28003</v>
      </c>
      <c r="B136" s="1" t="s">
        <v>301</v>
      </c>
      <c r="C136" s="1" t="s">
        <v>500</v>
      </c>
      <c r="D136" s="1" t="s">
        <v>110</v>
      </c>
    </row>
    <row r="137" spans="1:4">
      <c r="A137" s="1">
        <v>28004</v>
      </c>
      <c r="B137" s="1" t="s">
        <v>596</v>
      </c>
      <c r="C137" s="1" t="s">
        <v>500</v>
      </c>
      <c r="D137" s="1" t="s">
        <v>81</v>
      </c>
    </row>
    <row r="138" spans="1:4">
      <c r="A138" s="1">
        <v>29001</v>
      </c>
      <c r="B138" s="1" t="s">
        <v>303</v>
      </c>
      <c r="C138" s="1" t="s">
        <v>500</v>
      </c>
      <c r="D138" s="1" t="s">
        <v>76</v>
      </c>
    </row>
    <row r="139" spans="1:4">
      <c r="A139" s="1">
        <v>30001</v>
      </c>
      <c r="B139" s="1" t="s">
        <v>597</v>
      </c>
      <c r="C139" s="1" t="s">
        <v>500</v>
      </c>
      <c r="D139" s="1" t="s">
        <v>72</v>
      </c>
    </row>
    <row r="140" spans="1:4">
      <c r="A140" s="1">
        <v>31001</v>
      </c>
      <c r="B140" s="1" t="s">
        <v>598</v>
      </c>
      <c r="C140" s="1" t="s">
        <v>507</v>
      </c>
      <c r="D140" s="1" t="s">
        <v>87</v>
      </c>
    </row>
    <row r="141" spans="1:4">
      <c r="A141" s="1">
        <v>31003</v>
      </c>
      <c r="B141" s="1" t="s">
        <v>306</v>
      </c>
      <c r="C141" s="1" t="s">
        <v>507</v>
      </c>
      <c r="D141" s="1" t="s">
        <v>93</v>
      </c>
    </row>
    <row r="142" spans="1:4">
      <c r="A142" s="1">
        <v>31004</v>
      </c>
      <c r="B142" s="1" t="s">
        <v>307</v>
      </c>
      <c r="C142" s="1" t="s">
        <v>500</v>
      </c>
      <c r="D142" s="1" t="s">
        <v>110</v>
      </c>
    </row>
    <row r="143" spans="1:4">
      <c r="A143" s="1">
        <v>31005</v>
      </c>
      <c r="B143" s="1" t="s">
        <v>599</v>
      </c>
      <c r="C143" s="1" t="s">
        <v>500</v>
      </c>
      <c r="D143" s="1" t="s">
        <v>102</v>
      </c>
    </row>
    <row r="144" spans="1:4">
      <c r="A144" s="1">
        <v>32001</v>
      </c>
      <c r="B144" s="1" t="s">
        <v>309</v>
      </c>
      <c r="C144" s="1" t="s">
        <v>500</v>
      </c>
      <c r="D144" s="1" t="s">
        <v>102</v>
      </c>
    </row>
    <row r="145" spans="1:4">
      <c r="A145" s="1">
        <v>32003</v>
      </c>
      <c r="B145" s="1" t="s">
        <v>600</v>
      </c>
      <c r="C145" s="1" t="s">
        <v>500</v>
      </c>
      <c r="D145" s="1" t="s">
        <v>87</v>
      </c>
    </row>
    <row r="146" spans="1:4">
      <c r="A146" s="1">
        <v>33001</v>
      </c>
      <c r="B146" s="1" t="s">
        <v>601</v>
      </c>
      <c r="C146" s="1" t="s">
        <v>500</v>
      </c>
      <c r="D146" s="1" t="s">
        <v>72</v>
      </c>
    </row>
    <row r="147" spans="1:4">
      <c r="A147" s="1">
        <v>34001</v>
      </c>
      <c r="B147" s="1" t="s">
        <v>602</v>
      </c>
      <c r="C147" s="1" t="s">
        <v>500</v>
      </c>
      <c r="D147" s="1" t="s">
        <v>102</v>
      </c>
    </row>
    <row r="148" spans="1:4">
      <c r="A148" s="1">
        <v>34003</v>
      </c>
      <c r="B148" s="1" t="s">
        <v>603</v>
      </c>
      <c r="C148" s="1" t="s">
        <v>500</v>
      </c>
      <c r="D148" s="1" t="s">
        <v>98</v>
      </c>
    </row>
    <row r="149" spans="1:4">
      <c r="A149" s="1">
        <v>34004</v>
      </c>
      <c r="B149" s="1" t="s">
        <v>314</v>
      </c>
      <c r="C149" s="1" t="s">
        <v>507</v>
      </c>
      <c r="D149" s="1" t="s">
        <v>93</v>
      </c>
    </row>
    <row r="150" spans="1:4">
      <c r="A150" s="1">
        <v>35001</v>
      </c>
      <c r="B150" s="1" t="s">
        <v>604</v>
      </c>
      <c r="C150" s="1" t="s">
        <v>507</v>
      </c>
      <c r="D150" s="1" t="s">
        <v>93</v>
      </c>
    </row>
    <row r="151" spans="1:4">
      <c r="A151" s="1">
        <v>35002</v>
      </c>
      <c r="B151" s="1" t="s">
        <v>605</v>
      </c>
      <c r="C151" s="1" t="s">
        <v>500</v>
      </c>
      <c r="D151" s="1" t="s">
        <v>76</v>
      </c>
    </row>
    <row r="152" spans="1:4">
      <c r="A152" s="1">
        <v>36002</v>
      </c>
      <c r="B152" s="1" t="s">
        <v>606</v>
      </c>
      <c r="C152" s="1" t="s">
        <v>500</v>
      </c>
      <c r="D152" s="1" t="s">
        <v>87</v>
      </c>
    </row>
    <row r="153" spans="1:4">
      <c r="A153" s="1">
        <v>36003</v>
      </c>
      <c r="B153" s="1" t="s">
        <v>318</v>
      </c>
      <c r="C153" s="1" t="s">
        <v>500</v>
      </c>
      <c r="D153" s="1" t="s">
        <v>76</v>
      </c>
    </row>
    <row r="154" spans="1:4">
      <c r="A154" s="1">
        <v>37001</v>
      </c>
      <c r="B154" s="1" t="s">
        <v>607</v>
      </c>
      <c r="C154" s="1" t="s">
        <v>500</v>
      </c>
      <c r="D154" s="1" t="s">
        <v>98</v>
      </c>
    </row>
    <row r="155" spans="1:4">
      <c r="A155" s="1">
        <v>37002</v>
      </c>
      <c r="B155" s="1" t="s">
        <v>608</v>
      </c>
      <c r="C155" s="1" t="s">
        <v>507</v>
      </c>
      <c r="D155" s="1" t="s">
        <v>93</v>
      </c>
    </row>
    <row r="156" spans="1:4">
      <c r="A156" s="1">
        <v>38002</v>
      </c>
      <c r="B156" s="1" t="s">
        <v>609</v>
      </c>
      <c r="C156" s="1" t="s">
        <v>500</v>
      </c>
      <c r="D156" s="1" t="s">
        <v>110</v>
      </c>
    </row>
    <row r="157" spans="1:4">
      <c r="A157" s="1">
        <v>39001</v>
      </c>
      <c r="B157" s="1" t="s">
        <v>610</v>
      </c>
      <c r="C157" s="1" t="s">
        <v>507</v>
      </c>
      <c r="D157" s="1" t="s">
        <v>93</v>
      </c>
    </row>
    <row r="158" spans="1:4">
      <c r="A158" s="1">
        <v>40003</v>
      </c>
      <c r="B158" s="1" t="s">
        <v>611</v>
      </c>
      <c r="C158" s="1" t="s">
        <v>507</v>
      </c>
      <c r="D158" s="1" t="s">
        <v>93</v>
      </c>
    </row>
    <row r="159" spans="1:4">
      <c r="A159" s="1">
        <v>40004</v>
      </c>
      <c r="B159" s="1" t="s">
        <v>612</v>
      </c>
      <c r="C159" s="1" t="s">
        <v>500</v>
      </c>
      <c r="D159" s="1" t="s">
        <v>98</v>
      </c>
    </row>
    <row r="160" spans="1:4">
      <c r="A160" s="1">
        <v>41002</v>
      </c>
      <c r="B160" s="1" t="s">
        <v>613</v>
      </c>
      <c r="C160" s="1" t="s">
        <v>507</v>
      </c>
      <c r="D160" s="1" t="s">
        <v>93</v>
      </c>
    </row>
    <row r="161" spans="1:4">
      <c r="A161" s="1">
        <v>41003</v>
      </c>
      <c r="B161" s="1" t="s">
        <v>614</v>
      </c>
      <c r="C161" s="1" t="s">
        <v>507</v>
      </c>
      <c r="D161" s="1" t="s">
        <v>87</v>
      </c>
    </row>
    <row r="162" spans="1:4">
      <c r="A162" s="1">
        <v>42001</v>
      </c>
      <c r="B162" s="1" t="s">
        <v>615</v>
      </c>
      <c r="C162" s="1" t="s">
        <v>500</v>
      </c>
      <c r="D162" s="1" t="s">
        <v>76</v>
      </c>
    </row>
    <row r="163" spans="1:4">
      <c r="A163" s="1">
        <v>42005</v>
      </c>
      <c r="B163" s="1" t="s">
        <v>616</v>
      </c>
      <c r="C163" s="1" t="s">
        <v>507</v>
      </c>
      <c r="D163" s="1" t="s">
        <v>87</v>
      </c>
    </row>
    <row r="164" spans="1:4">
      <c r="A164" s="1">
        <v>43001</v>
      </c>
      <c r="B164" s="1" t="s">
        <v>617</v>
      </c>
      <c r="C164" s="1" t="s">
        <v>500</v>
      </c>
      <c r="D164" s="1" t="s">
        <v>110</v>
      </c>
    </row>
    <row r="165" spans="1:4">
      <c r="A165" s="1">
        <v>43002</v>
      </c>
      <c r="B165" s="1" t="s">
        <v>330</v>
      </c>
      <c r="C165" s="1" t="s">
        <v>507</v>
      </c>
      <c r="D165" s="1" t="s">
        <v>93</v>
      </c>
    </row>
    <row r="166" spans="1:4">
      <c r="A166" s="1">
        <v>43003</v>
      </c>
      <c r="B166" s="1" t="s">
        <v>618</v>
      </c>
      <c r="C166" s="1" t="s">
        <v>507</v>
      </c>
      <c r="D166" s="1" t="s">
        <v>93</v>
      </c>
    </row>
    <row r="167" spans="1:4">
      <c r="A167" s="1">
        <v>44001</v>
      </c>
      <c r="B167" s="1" t="s">
        <v>619</v>
      </c>
      <c r="C167" s="1" t="s">
        <v>507</v>
      </c>
      <c r="D167" s="1" t="s">
        <v>93</v>
      </c>
    </row>
    <row r="168" spans="1:4">
      <c r="A168" s="1">
        <v>45001</v>
      </c>
      <c r="B168" s="1" t="s">
        <v>333</v>
      </c>
      <c r="C168" s="1" t="s">
        <v>500</v>
      </c>
      <c r="D168" s="1" t="s">
        <v>66</v>
      </c>
    </row>
    <row r="169" spans="1:4">
      <c r="A169" s="1">
        <v>46002</v>
      </c>
      <c r="B169" s="1" t="s">
        <v>620</v>
      </c>
      <c r="C169" s="1" t="s">
        <v>500</v>
      </c>
      <c r="D169" s="1" t="s">
        <v>66</v>
      </c>
    </row>
    <row r="170" spans="1:4">
      <c r="A170" s="1">
        <v>46003</v>
      </c>
      <c r="B170" s="1" t="s">
        <v>621</v>
      </c>
      <c r="C170" s="1" t="s">
        <v>500</v>
      </c>
      <c r="D170" s="1" t="s">
        <v>76</v>
      </c>
    </row>
    <row r="171" spans="1:4">
      <c r="A171" s="1">
        <v>46004</v>
      </c>
      <c r="B171" s="1" t="s">
        <v>622</v>
      </c>
      <c r="C171" s="1" t="s">
        <v>500</v>
      </c>
      <c r="D171" s="1" t="s">
        <v>102</v>
      </c>
    </row>
    <row r="172" spans="1:4">
      <c r="A172" s="1">
        <v>47002</v>
      </c>
      <c r="B172" s="1" t="s">
        <v>623</v>
      </c>
      <c r="C172" s="1" t="s">
        <v>500</v>
      </c>
      <c r="D172" s="1" t="s">
        <v>110</v>
      </c>
    </row>
    <row r="173" spans="1:4">
      <c r="A173" s="1">
        <v>47003</v>
      </c>
      <c r="B173" s="1" t="s">
        <v>338</v>
      </c>
      <c r="C173" s="1" t="s">
        <v>500</v>
      </c>
      <c r="D173" s="1" t="s">
        <v>93</v>
      </c>
    </row>
    <row r="174" spans="1:4">
      <c r="A174" s="1">
        <v>47005</v>
      </c>
      <c r="B174" s="1" t="s">
        <v>624</v>
      </c>
      <c r="C174" s="1" t="s">
        <v>500</v>
      </c>
      <c r="D174" s="1" t="s">
        <v>72</v>
      </c>
    </row>
    <row r="175" spans="1:4">
      <c r="A175" s="1">
        <v>48001</v>
      </c>
      <c r="B175" s="1" t="s">
        <v>625</v>
      </c>
      <c r="C175" s="1" t="s">
        <v>500</v>
      </c>
      <c r="D175" s="1" t="s">
        <v>72</v>
      </c>
    </row>
    <row r="176" spans="1:4">
      <c r="A176" s="1">
        <v>48002</v>
      </c>
      <c r="B176" s="1" t="s">
        <v>626</v>
      </c>
      <c r="C176" s="1" t="s">
        <v>500</v>
      </c>
      <c r="D176" s="1" t="s">
        <v>72</v>
      </c>
    </row>
    <row r="177" spans="1:4">
      <c r="A177" s="1">
        <v>48003</v>
      </c>
      <c r="B177" s="1" t="s">
        <v>342</v>
      </c>
      <c r="C177" s="1" t="s">
        <v>507</v>
      </c>
      <c r="D177" s="1" t="s">
        <v>93</v>
      </c>
    </row>
    <row r="178" spans="1:4">
      <c r="A178" s="1">
        <v>49001</v>
      </c>
      <c r="B178" s="1" t="s">
        <v>343</v>
      </c>
      <c r="C178" s="1" t="s">
        <v>500</v>
      </c>
      <c r="D178" s="1" t="s">
        <v>76</v>
      </c>
    </row>
    <row r="179" spans="1:4">
      <c r="A179" s="1">
        <v>49002</v>
      </c>
      <c r="B179" s="1" t="s">
        <v>627</v>
      </c>
      <c r="C179" s="1" t="s">
        <v>500</v>
      </c>
      <c r="D179" s="1" t="s">
        <v>98</v>
      </c>
    </row>
    <row r="180" spans="1:4">
      <c r="A180" s="1">
        <v>49003</v>
      </c>
      <c r="B180" s="1" t="s">
        <v>628</v>
      </c>
      <c r="C180" s="1" t="s">
        <v>500</v>
      </c>
      <c r="D180" s="1" t="s">
        <v>102</v>
      </c>
    </row>
    <row r="181" spans="1:4">
      <c r="A181" s="1">
        <v>50001</v>
      </c>
      <c r="B181" s="1" t="s">
        <v>629</v>
      </c>
      <c r="C181" s="1" t="s">
        <v>500</v>
      </c>
      <c r="D181" s="1" t="s">
        <v>66</v>
      </c>
    </row>
    <row r="182" spans="1:4">
      <c r="A182" s="1">
        <v>50003</v>
      </c>
      <c r="B182" s="1" t="s">
        <v>630</v>
      </c>
      <c r="C182" s="1" t="s">
        <v>500</v>
      </c>
      <c r="D182" s="1" t="s">
        <v>102</v>
      </c>
    </row>
    <row r="183" spans="1:4">
      <c r="A183" s="1">
        <v>50005</v>
      </c>
      <c r="B183" s="1" t="s">
        <v>631</v>
      </c>
      <c r="C183" s="1" t="s">
        <v>500</v>
      </c>
      <c r="D183" s="1" t="s">
        <v>76</v>
      </c>
    </row>
    <row r="184" spans="1:4">
      <c r="A184" s="1">
        <v>50006</v>
      </c>
      <c r="B184" s="1" t="s">
        <v>632</v>
      </c>
      <c r="C184" s="1" t="s">
        <v>500</v>
      </c>
      <c r="D184" s="1" t="s">
        <v>87</v>
      </c>
    </row>
    <row r="185" spans="1:4">
      <c r="A185" s="1">
        <v>51002</v>
      </c>
      <c r="B185" s="1" t="s">
        <v>633</v>
      </c>
      <c r="C185" s="1" t="s">
        <v>500</v>
      </c>
      <c r="D185" s="1" t="s">
        <v>76</v>
      </c>
    </row>
    <row r="186" spans="1:4">
      <c r="A186" s="1">
        <v>52003</v>
      </c>
      <c r="B186" s="1" t="s">
        <v>634</v>
      </c>
      <c r="C186" s="1" t="s">
        <v>500</v>
      </c>
      <c r="D186" s="1" t="s">
        <v>102</v>
      </c>
    </row>
    <row r="187" spans="1:4">
      <c r="A187" s="1">
        <v>53004</v>
      </c>
      <c r="B187" s="1" t="s">
        <v>635</v>
      </c>
      <c r="C187" s="1" t="s">
        <v>500</v>
      </c>
      <c r="D187" s="1" t="s">
        <v>110</v>
      </c>
    </row>
    <row r="188" spans="1:4">
      <c r="A188" s="1">
        <v>53005</v>
      </c>
      <c r="B188" s="1" t="s">
        <v>636</v>
      </c>
      <c r="C188" s="1" t="s">
        <v>500</v>
      </c>
      <c r="D188" s="1" t="s">
        <v>81</v>
      </c>
    </row>
    <row r="189" spans="1:4">
      <c r="A189" s="1">
        <v>54002</v>
      </c>
      <c r="B189" s="1" t="s">
        <v>354</v>
      </c>
      <c r="C189" s="1" t="s">
        <v>500</v>
      </c>
      <c r="D189" s="1" t="s">
        <v>66</v>
      </c>
    </row>
    <row r="190" spans="1:4">
      <c r="A190" s="1">
        <v>54003</v>
      </c>
      <c r="B190" s="1" t="s">
        <v>637</v>
      </c>
      <c r="C190" s="1" t="s">
        <v>500</v>
      </c>
      <c r="D190" s="1" t="s">
        <v>102</v>
      </c>
    </row>
    <row r="191" spans="1:4">
      <c r="A191" s="1">
        <v>55001</v>
      </c>
      <c r="B191" s="1" t="s">
        <v>356</v>
      </c>
      <c r="C191" s="1" t="s">
        <v>500</v>
      </c>
      <c r="D191" s="1" t="s">
        <v>110</v>
      </c>
    </row>
    <row r="192" spans="1:4">
      <c r="A192" s="1">
        <v>55002</v>
      </c>
      <c r="B192" s="1" t="s">
        <v>638</v>
      </c>
      <c r="C192" s="1" t="s">
        <v>500</v>
      </c>
      <c r="D192" s="1" t="s">
        <v>110</v>
      </c>
    </row>
    <row r="193" spans="1:4">
      <c r="A193" s="1">
        <v>55003</v>
      </c>
      <c r="B193" s="1" t="s">
        <v>358</v>
      </c>
      <c r="C193" s="1" t="s">
        <v>500</v>
      </c>
      <c r="D193" s="1" t="s">
        <v>102</v>
      </c>
    </row>
    <row r="194" spans="1:4">
      <c r="A194" s="1">
        <v>55004</v>
      </c>
      <c r="B194" s="1" t="s">
        <v>639</v>
      </c>
      <c r="C194" s="1" t="s">
        <v>500</v>
      </c>
      <c r="D194" s="1" t="s">
        <v>81</v>
      </c>
    </row>
    <row r="195" spans="1:4">
      <c r="A195" s="1">
        <v>55005</v>
      </c>
      <c r="B195" s="1" t="s">
        <v>640</v>
      </c>
      <c r="C195" s="1" t="s">
        <v>500</v>
      </c>
      <c r="D195" s="1" t="s">
        <v>72</v>
      </c>
    </row>
    <row r="196" spans="1:4">
      <c r="A196" s="1">
        <v>55007</v>
      </c>
      <c r="B196" s="1" t="s">
        <v>641</v>
      </c>
      <c r="C196" s="1" t="s">
        <v>500</v>
      </c>
      <c r="D196" s="1" t="s">
        <v>102</v>
      </c>
    </row>
    <row r="197" spans="1:4">
      <c r="A197" s="1">
        <v>55009</v>
      </c>
      <c r="B197" s="1" t="s">
        <v>642</v>
      </c>
      <c r="C197" s="1" t="s">
        <v>500</v>
      </c>
      <c r="D197" s="1" t="s">
        <v>87</v>
      </c>
    </row>
    <row r="198" spans="1:4">
      <c r="A198" s="1">
        <v>56001</v>
      </c>
      <c r="B198" s="1" t="s">
        <v>643</v>
      </c>
      <c r="C198" s="1" t="s">
        <v>507</v>
      </c>
      <c r="D198" s="1" t="s">
        <v>93</v>
      </c>
    </row>
    <row r="199" spans="1:4">
      <c r="A199" s="1">
        <v>56002</v>
      </c>
      <c r="B199" s="1" t="s">
        <v>364</v>
      </c>
      <c r="C199" s="1" t="s">
        <v>500</v>
      </c>
      <c r="D199" s="1" t="s">
        <v>98</v>
      </c>
    </row>
    <row r="200" spans="1:4">
      <c r="A200" s="1">
        <v>56004</v>
      </c>
      <c r="B200" s="1" t="s">
        <v>644</v>
      </c>
      <c r="C200" s="1" t="s">
        <v>500</v>
      </c>
      <c r="D200" s="1" t="s">
        <v>87</v>
      </c>
    </row>
    <row r="201" spans="1:4">
      <c r="A201" s="1">
        <v>56009</v>
      </c>
      <c r="B201" s="1" t="s">
        <v>366</v>
      </c>
      <c r="C201" s="1" t="s">
        <v>500</v>
      </c>
      <c r="D201" s="1" t="s">
        <v>102</v>
      </c>
    </row>
    <row r="202" spans="1:4">
      <c r="A202" s="1">
        <v>56010</v>
      </c>
      <c r="B202" s="1" t="s">
        <v>367</v>
      </c>
      <c r="C202" s="1" t="s">
        <v>500</v>
      </c>
      <c r="D202" s="1" t="s">
        <v>81</v>
      </c>
    </row>
    <row r="203" spans="1:4">
      <c r="A203" s="1">
        <v>56011</v>
      </c>
      <c r="B203" s="1" t="s">
        <v>645</v>
      </c>
      <c r="C203" s="1" t="s">
        <v>500</v>
      </c>
      <c r="D203" s="1" t="s">
        <v>76</v>
      </c>
    </row>
    <row r="204" spans="1:4">
      <c r="A204" s="1">
        <v>57001</v>
      </c>
      <c r="B204" s="1" t="s">
        <v>369</v>
      </c>
      <c r="C204" s="1" t="s">
        <v>507</v>
      </c>
      <c r="D204" s="1" t="s">
        <v>93</v>
      </c>
    </row>
    <row r="205" spans="1:4">
      <c r="A205" s="1">
        <v>57002</v>
      </c>
      <c r="B205" s="1" t="s">
        <v>370</v>
      </c>
      <c r="C205" s="1" t="s">
        <v>500</v>
      </c>
      <c r="D205" s="1" t="s">
        <v>72</v>
      </c>
    </row>
    <row r="206" spans="1:4">
      <c r="A206" s="1">
        <v>58001</v>
      </c>
      <c r="B206" s="1" t="s">
        <v>371</v>
      </c>
      <c r="C206" s="1" t="s">
        <v>507</v>
      </c>
      <c r="D206" s="1" t="s">
        <v>93</v>
      </c>
    </row>
    <row r="207" spans="1:4">
      <c r="A207" s="1">
        <v>59001</v>
      </c>
      <c r="B207" s="1" t="s">
        <v>646</v>
      </c>
      <c r="C207" s="1" t="s">
        <v>500</v>
      </c>
      <c r="D207" s="1" t="s">
        <v>87</v>
      </c>
    </row>
    <row r="208" spans="1:4">
      <c r="A208" s="1">
        <v>59003</v>
      </c>
      <c r="B208" s="1" t="s">
        <v>373</v>
      </c>
      <c r="C208" s="1" t="s">
        <v>500</v>
      </c>
      <c r="D208" s="1" t="s">
        <v>87</v>
      </c>
    </row>
    <row r="209" spans="1:4">
      <c r="A209" s="1">
        <v>60001</v>
      </c>
      <c r="B209" s="1" t="s">
        <v>647</v>
      </c>
      <c r="C209" s="1" t="s">
        <v>500</v>
      </c>
      <c r="D209" s="1" t="s">
        <v>93</v>
      </c>
    </row>
    <row r="210" spans="1:4">
      <c r="A210" s="1">
        <v>60003</v>
      </c>
      <c r="B210" s="1" t="s">
        <v>648</v>
      </c>
      <c r="C210" s="1" t="s">
        <v>500</v>
      </c>
      <c r="D210" s="1" t="s">
        <v>102</v>
      </c>
    </row>
    <row r="211" spans="1:4">
      <c r="A211" s="1">
        <v>60006</v>
      </c>
      <c r="B211" s="1" t="s">
        <v>649</v>
      </c>
      <c r="C211" s="1" t="s">
        <v>500</v>
      </c>
      <c r="D211" s="1" t="s">
        <v>81</v>
      </c>
    </row>
    <row r="212" spans="1:4">
      <c r="A212" s="1">
        <v>60008</v>
      </c>
      <c r="B212" s="1" t="s">
        <v>650</v>
      </c>
      <c r="C212" s="1" t="s">
        <v>507</v>
      </c>
      <c r="D212" s="1" t="s">
        <v>87</v>
      </c>
    </row>
    <row r="213" spans="1:4">
      <c r="A213" s="1">
        <v>61002</v>
      </c>
      <c r="B213" s="1" t="s">
        <v>651</v>
      </c>
      <c r="C213" s="1" t="s">
        <v>500</v>
      </c>
      <c r="D213" s="1" t="s">
        <v>76</v>
      </c>
    </row>
    <row r="214" spans="1:4">
      <c r="A214" s="1">
        <v>61003</v>
      </c>
      <c r="B214" s="1" t="s">
        <v>379</v>
      </c>
      <c r="C214" s="1" t="s">
        <v>500</v>
      </c>
      <c r="D214" s="1" t="s">
        <v>76</v>
      </c>
    </row>
    <row r="215" spans="1:4">
      <c r="A215" s="1">
        <v>62002</v>
      </c>
      <c r="B215" s="1" t="s">
        <v>652</v>
      </c>
      <c r="C215" s="1" t="s">
        <v>500</v>
      </c>
      <c r="D215" s="1" t="s">
        <v>76</v>
      </c>
    </row>
    <row r="216" spans="1:4">
      <c r="A216" s="1">
        <v>62003</v>
      </c>
      <c r="B216" s="1" t="s">
        <v>653</v>
      </c>
      <c r="C216" s="1" t="s">
        <v>500</v>
      </c>
      <c r="D216" s="1" t="s">
        <v>110</v>
      </c>
    </row>
    <row r="217" spans="1:4">
      <c r="A217" s="1">
        <v>62004</v>
      </c>
      <c r="B217" s="1" t="s">
        <v>382</v>
      </c>
      <c r="C217" s="1" t="s">
        <v>500</v>
      </c>
      <c r="D217" s="1" t="s">
        <v>76</v>
      </c>
    </row>
    <row r="218" spans="1:4">
      <c r="A218" s="1">
        <v>62006</v>
      </c>
      <c r="B218" s="1" t="s">
        <v>654</v>
      </c>
      <c r="C218" s="1" t="s">
        <v>500</v>
      </c>
      <c r="D218" s="1" t="s">
        <v>93</v>
      </c>
    </row>
    <row r="219" spans="1:4">
      <c r="A219" s="1">
        <v>62007</v>
      </c>
      <c r="B219" s="1" t="s">
        <v>655</v>
      </c>
      <c r="C219" s="1" t="s">
        <v>500</v>
      </c>
      <c r="D219" s="1" t="s">
        <v>87</v>
      </c>
    </row>
    <row r="220" spans="1:4">
      <c r="A220" s="1">
        <v>62008</v>
      </c>
      <c r="B220" s="1" t="s">
        <v>656</v>
      </c>
      <c r="C220" s="1" t="s">
        <v>500</v>
      </c>
      <c r="D220" s="1" t="s">
        <v>110</v>
      </c>
    </row>
    <row r="221" spans="1:4">
      <c r="A221" s="1">
        <v>62009</v>
      </c>
      <c r="B221" s="1" t="s">
        <v>657</v>
      </c>
      <c r="C221" s="1" t="s">
        <v>500</v>
      </c>
      <c r="D221" s="1" t="s">
        <v>76</v>
      </c>
    </row>
    <row r="222" spans="1:4">
      <c r="A222" s="1">
        <v>62010</v>
      </c>
      <c r="B222" s="1" t="s">
        <v>658</v>
      </c>
      <c r="C222" s="1" t="s">
        <v>500</v>
      </c>
      <c r="D222" s="1" t="s">
        <v>110</v>
      </c>
    </row>
    <row r="223" spans="1:4">
      <c r="A223" s="1">
        <v>62011</v>
      </c>
      <c r="B223" s="1" t="s">
        <v>388</v>
      </c>
      <c r="C223" s="1" t="s">
        <v>500</v>
      </c>
      <c r="D223" s="1" t="s">
        <v>81</v>
      </c>
    </row>
    <row r="224" spans="1:4">
      <c r="A224" s="1">
        <v>62012</v>
      </c>
      <c r="B224" s="1" t="s">
        <v>659</v>
      </c>
      <c r="C224" s="1" t="s">
        <v>500</v>
      </c>
      <c r="D224" s="1" t="s">
        <v>76</v>
      </c>
    </row>
    <row r="225" spans="1:4">
      <c r="A225" s="1">
        <v>62013</v>
      </c>
      <c r="B225" s="1" t="s">
        <v>660</v>
      </c>
      <c r="C225" s="1" t="s">
        <v>500</v>
      </c>
      <c r="D225" s="1" t="s">
        <v>72</v>
      </c>
    </row>
    <row r="226" spans="1:4">
      <c r="A226" s="1">
        <v>62015</v>
      </c>
      <c r="B226" s="1" t="s">
        <v>391</v>
      </c>
      <c r="C226" s="1" t="s">
        <v>500</v>
      </c>
      <c r="D226" s="1" t="s">
        <v>76</v>
      </c>
    </row>
    <row r="227" spans="1:4">
      <c r="A227" s="1">
        <v>62016</v>
      </c>
      <c r="B227" s="1" t="s">
        <v>661</v>
      </c>
      <c r="C227" s="1" t="s">
        <v>500</v>
      </c>
      <c r="D227" s="1" t="s">
        <v>102</v>
      </c>
    </row>
    <row r="228" spans="1:4">
      <c r="A228" s="1">
        <v>62017</v>
      </c>
      <c r="B228" s="1" t="s">
        <v>662</v>
      </c>
      <c r="C228" s="1" t="s">
        <v>500</v>
      </c>
      <c r="D228" s="1" t="s">
        <v>87</v>
      </c>
    </row>
    <row r="229" spans="1:4">
      <c r="A229" s="1">
        <v>62019</v>
      </c>
      <c r="B229" s="1" t="s">
        <v>394</v>
      </c>
      <c r="C229" s="1" t="s">
        <v>500</v>
      </c>
      <c r="D229" s="1" t="s">
        <v>93</v>
      </c>
    </row>
    <row r="230" spans="1:4">
      <c r="A230" s="1">
        <v>62022</v>
      </c>
      <c r="B230" s="1" t="s">
        <v>663</v>
      </c>
      <c r="C230" s="1" t="s">
        <v>500</v>
      </c>
      <c r="D230" s="1" t="s">
        <v>102</v>
      </c>
    </row>
    <row r="231" spans="1:4">
      <c r="A231" s="1">
        <v>62026</v>
      </c>
      <c r="B231" s="1" t="s">
        <v>664</v>
      </c>
      <c r="C231" s="1" t="s">
        <v>500</v>
      </c>
      <c r="D231" s="1" t="s">
        <v>102</v>
      </c>
    </row>
    <row r="232" spans="1:4">
      <c r="A232" s="1">
        <v>62027</v>
      </c>
      <c r="B232" s="1" t="s">
        <v>665</v>
      </c>
      <c r="C232" s="1" t="s">
        <v>500</v>
      </c>
      <c r="D232" s="1" t="s">
        <v>110</v>
      </c>
    </row>
    <row r="233" spans="1:4">
      <c r="A233" s="1">
        <v>62028</v>
      </c>
      <c r="B233" s="1" t="s">
        <v>398</v>
      </c>
      <c r="C233" s="1" t="s">
        <v>500</v>
      </c>
      <c r="D233" s="1" t="s">
        <v>93</v>
      </c>
    </row>
    <row r="234" spans="1:4">
      <c r="A234" s="1">
        <v>62030</v>
      </c>
      <c r="B234" s="1" t="s">
        <v>666</v>
      </c>
      <c r="C234" s="1" t="s">
        <v>500</v>
      </c>
      <c r="D234" s="1" t="s">
        <v>72</v>
      </c>
    </row>
    <row r="235" spans="1:4">
      <c r="A235" s="1">
        <v>62031</v>
      </c>
      <c r="B235" s="1" t="s">
        <v>667</v>
      </c>
      <c r="C235" s="1" t="s">
        <v>500</v>
      </c>
      <c r="D235" s="1" t="s">
        <v>72</v>
      </c>
    </row>
    <row r="236" spans="1:4">
      <c r="A236" s="1">
        <v>62032</v>
      </c>
      <c r="B236" s="1" t="s">
        <v>668</v>
      </c>
      <c r="C236" s="1" t="s">
        <v>500</v>
      </c>
      <c r="D236" s="1" t="s">
        <v>102</v>
      </c>
    </row>
    <row r="237" spans="1:4">
      <c r="A237" s="1">
        <v>62034</v>
      </c>
      <c r="B237" s="1" t="s">
        <v>669</v>
      </c>
      <c r="C237" s="1" t="s">
        <v>500</v>
      </c>
      <c r="D237" s="1" t="s">
        <v>110</v>
      </c>
    </row>
    <row r="238" spans="1:4">
      <c r="A238" s="1">
        <v>62037</v>
      </c>
      <c r="B238" s="1" t="s">
        <v>670</v>
      </c>
      <c r="C238" s="1" t="s">
        <v>500</v>
      </c>
      <c r="D238" s="1" t="s">
        <v>72</v>
      </c>
    </row>
    <row r="239" spans="1:4">
      <c r="A239" s="1">
        <v>62040</v>
      </c>
      <c r="B239" s="1" t="s">
        <v>404</v>
      </c>
      <c r="C239" s="1" t="s">
        <v>500</v>
      </c>
      <c r="D239" s="1" t="s">
        <v>72</v>
      </c>
    </row>
    <row r="240" spans="1:4">
      <c r="A240" s="1">
        <v>62041</v>
      </c>
      <c r="B240" s="1" t="s">
        <v>405</v>
      </c>
      <c r="C240" s="1" t="s">
        <v>500</v>
      </c>
      <c r="D240" s="1" t="s">
        <v>76</v>
      </c>
    </row>
    <row r="241" spans="1:4">
      <c r="A241" s="1">
        <v>62042</v>
      </c>
      <c r="B241" s="1" t="s">
        <v>406</v>
      </c>
      <c r="C241" s="1" t="s">
        <v>500</v>
      </c>
      <c r="D241" s="1" t="s">
        <v>72</v>
      </c>
    </row>
    <row r="242" spans="1:4">
      <c r="A242" s="1">
        <v>64001</v>
      </c>
      <c r="B242" s="1" t="s">
        <v>407</v>
      </c>
      <c r="C242" s="1" t="s">
        <v>500</v>
      </c>
      <c r="D242" s="1" t="s">
        <v>110</v>
      </c>
    </row>
    <row r="243" spans="1:4">
      <c r="A243" s="1">
        <v>64002</v>
      </c>
      <c r="B243" s="1" t="s">
        <v>671</v>
      </c>
      <c r="C243" s="1" t="s">
        <v>500</v>
      </c>
      <c r="D243" s="1" t="s">
        <v>76</v>
      </c>
    </row>
    <row r="244" spans="1:4">
      <c r="A244" s="1">
        <v>64003</v>
      </c>
      <c r="B244" s="1" t="s">
        <v>409</v>
      </c>
      <c r="C244" s="1" t="s">
        <v>500</v>
      </c>
      <c r="D244" s="1" t="s">
        <v>76</v>
      </c>
    </row>
    <row r="245" spans="1:4">
      <c r="A245" s="1">
        <v>64004</v>
      </c>
      <c r="B245" s="1" t="s">
        <v>672</v>
      </c>
      <c r="C245" s="1" t="s">
        <v>500</v>
      </c>
      <c r="D245" s="1" t="s">
        <v>110</v>
      </c>
    </row>
    <row r="246" spans="1:4">
      <c r="A246" s="1">
        <v>64005</v>
      </c>
      <c r="B246" s="1" t="s">
        <v>673</v>
      </c>
      <c r="C246" s="1" t="s">
        <v>500</v>
      </c>
      <c r="D246" s="1" t="s">
        <v>110</v>
      </c>
    </row>
    <row r="247" spans="1:4">
      <c r="A247" s="1">
        <v>65001</v>
      </c>
      <c r="B247" s="1" t="s">
        <v>412</v>
      </c>
      <c r="C247" s="1" t="s">
        <v>500</v>
      </c>
      <c r="D247" s="1" t="s">
        <v>76</v>
      </c>
    </row>
    <row r="248" spans="1:4">
      <c r="A248" s="1">
        <v>65002</v>
      </c>
      <c r="B248" s="1" t="s">
        <v>413</v>
      </c>
      <c r="C248" s="1" t="s">
        <v>500</v>
      </c>
      <c r="D248" s="1" t="s">
        <v>110</v>
      </c>
    </row>
    <row r="249" spans="1:4">
      <c r="A249" s="1">
        <v>65003</v>
      </c>
      <c r="B249" s="1" t="s">
        <v>414</v>
      </c>
      <c r="C249" s="1" t="s">
        <v>500</v>
      </c>
      <c r="D249" s="1" t="s">
        <v>110</v>
      </c>
    </row>
    <row r="250" spans="1:4">
      <c r="A250" s="1">
        <v>65004</v>
      </c>
      <c r="B250" s="1" t="s">
        <v>674</v>
      </c>
      <c r="C250" s="1" t="s">
        <v>500</v>
      </c>
      <c r="D250" s="1" t="s">
        <v>87</v>
      </c>
    </row>
    <row r="251" spans="1:4">
      <c r="A251" s="1">
        <v>66001</v>
      </c>
      <c r="B251" s="1" t="s">
        <v>416</v>
      </c>
      <c r="C251" s="1" t="s">
        <v>500</v>
      </c>
      <c r="D251" s="1" t="s">
        <v>76</v>
      </c>
    </row>
    <row r="252" spans="1:4">
      <c r="A252" s="1">
        <v>66002</v>
      </c>
      <c r="B252" s="1" t="s">
        <v>417</v>
      </c>
      <c r="C252" s="1" t="s">
        <v>500</v>
      </c>
      <c r="D252" s="1" t="s">
        <v>110</v>
      </c>
    </row>
    <row r="253" spans="1:4">
      <c r="A253" s="1">
        <v>67001</v>
      </c>
      <c r="B253" s="1" t="s">
        <v>675</v>
      </c>
      <c r="C253" s="1" t="s">
        <v>500</v>
      </c>
      <c r="D253" s="1" t="s">
        <v>87</v>
      </c>
    </row>
    <row r="254" spans="1:4">
      <c r="A254" s="1">
        <v>67002</v>
      </c>
      <c r="B254" s="1" t="s">
        <v>676</v>
      </c>
      <c r="C254" s="1" t="s">
        <v>500</v>
      </c>
      <c r="D254" s="1" t="s">
        <v>98</v>
      </c>
    </row>
    <row r="255" spans="1:4">
      <c r="A255" s="1">
        <v>68001</v>
      </c>
      <c r="B255" s="1" t="s">
        <v>677</v>
      </c>
      <c r="C255" s="1" t="s">
        <v>507</v>
      </c>
      <c r="D255" s="1" t="s">
        <v>93</v>
      </c>
    </row>
    <row r="256" spans="1:4">
      <c r="A256" s="1">
        <v>68002</v>
      </c>
      <c r="B256" s="1" t="s">
        <v>678</v>
      </c>
      <c r="C256" s="1" t="s">
        <v>507</v>
      </c>
      <c r="D256" s="1" t="s">
        <v>93</v>
      </c>
    </row>
    <row r="257" spans="1:4">
      <c r="A257" s="1">
        <v>68003</v>
      </c>
      <c r="B257" s="1" t="s">
        <v>679</v>
      </c>
      <c r="C257" s="1" t="s">
        <v>500</v>
      </c>
      <c r="D257" s="1" t="s">
        <v>66</v>
      </c>
    </row>
    <row r="258" spans="1:4">
      <c r="A258" s="1">
        <v>69001</v>
      </c>
      <c r="B258" s="1" t="s">
        <v>423</v>
      </c>
      <c r="C258" s="1" t="s">
        <v>500</v>
      </c>
      <c r="D258" s="1" t="s">
        <v>76</v>
      </c>
    </row>
    <row r="259" spans="1:4">
      <c r="A259" s="1">
        <v>69002</v>
      </c>
      <c r="B259" s="1" t="s">
        <v>680</v>
      </c>
      <c r="C259" s="1" t="s">
        <v>500</v>
      </c>
      <c r="D259" s="1" t="s">
        <v>110</v>
      </c>
    </row>
    <row r="260" spans="1:4">
      <c r="A260" s="1">
        <v>69003</v>
      </c>
      <c r="B260" s="1" t="s">
        <v>681</v>
      </c>
      <c r="C260" s="1" t="s">
        <v>500</v>
      </c>
      <c r="D260" s="1" t="s">
        <v>110</v>
      </c>
    </row>
    <row r="261" spans="1:4">
      <c r="A261" s="1">
        <v>69004</v>
      </c>
      <c r="B261" s="1" t="s">
        <v>426</v>
      </c>
      <c r="C261" s="1" t="s">
        <v>507</v>
      </c>
      <c r="D261" s="1" t="s">
        <v>87</v>
      </c>
    </row>
    <row r="262" spans="1:4">
      <c r="A262" s="1">
        <v>69006</v>
      </c>
      <c r="B262" s="1" t="s">
        <v>682</v>
      </c>
      <c r="C262" s="1" t="s">
        <v>500</v>
      </c>
      <c r="D262" s="1" t="s">
        <v>110</v>
      </c>
    </row>
    <row r="263" spans="1:4">
      <c r="A263" s="1">
        <v>69007</v>
      </c>
      <c r="B263" s="1" t="s">
        <v>683</v>
      </c>
      <c r="C263" s="1" t="s">
        <v>500</v>
      </c>
      <c r="D263" s="1" t="s">
        <v>110</v>
      </c>
    </row>
    <row r="264" spans="1:4">
      <c r="A264" s="1">
        <v>69008</v>
      </c>
      <c r="B264" s="1" t="s">
        <v>684</v>
      </c>
      <c r="C264" s="1" t="s">
        <v>500</v>
      </c>
      <c r="D264" s="1" t="s">
        <v>110</v>
      </c>
    </row>
    <row r="265" spans="1:4">
      <c r="A265" s="1">
        <v>69009</v>
      </c>
      <c r="B265" s="1" t="s">
        <v>430</v>
      </c>
      <c r="C265" s="1" t="s">
        <v>500</v>
      </c>
      <c r="D265" s="1" t="s">
        <v>76</v>
      </c>
    </row>
    <row r="266" spans="1:4">
      <c r="A266" s="1">
        <v>69010</v>
      </c>
      <c r="B266" s="1" t="s">
        <v>685</v>
      </c>
      <c r="C266" s="1" t="s">
        <v>500</v>
      </c>
      <c r="D266" s="1" t="s">
        <v>110</v>
      </c>
    </row>
    <row r="267" spans="1:4">
      <c r="A267" s="1">
        <v>69011</v>
      </c>
      <c r="B267" s="1" t="s">
        <v>686</v>
      </c>
      <c r="C267" s="1" t="s">
        <v>500</v>
      </c>
      <c r="D267" s="1" t="s">
        <v>110</v>
      </c>
    </row>
    <row r="268" spans="1:4">
      <c r="A268" s="1">
        <v>69015</v>
      </c>
      <c r="B268" s="1" t="s">
        <v>433</v>
      </c>
      <c r="C268" s="1" t="s">
        <v>500</v>
      </c>
      <c r="D268" s="1" t="s">
        <v>102</v>
      </c>
    </row>
    <row r="269" spans="1:4">
      <c r="A269" s="1">
        <v>69017</v>
      </c>
      <c r="B269" s="1" t="s">
        <v>434</v>
      </c>
      <c r="C269" s="1" t="s">
        <v>500</v>
      </c>
      <c r="D269" s="1" t="s">
        <v>76</v>
      </c>
    </row>
    <row r="270" spans="1:4">
      <c r="A270" s="1">
        <v>69018</v>
      </c>
      <c r="B270" s="1" t="s">
        <v>687</v>
      </c>
      <c r="C270" s="1" t="s">
        <v>507</v>
      </c>
      <c r="D270" s="1" t="s">
        <v>87</v>
      </c>
    </row>
    <row r="271" spans="1:4">
      <c r="A271" s="1">
        <v>69019</v>
      </c>
      <c r="B271" s="1" t="s">
        <v>436</v>
      </c>
      <c r="C271" s="1" t="s">
        <v>500</v>
      </c>
      <c r="D271" s="1" t="s">
        <v>76</v>
      </c>
    </row>
    <row r="272" spans="1:4">
      <c r="A272" s="1">
        <v>69020</v>
      </c>
      <c r="B272" s="1" t="s">
        <v>688</v>
      </c>
      <c r="C272" s="1" t="s">
        <v>500</v>
      </c>
      <c r="D272" s="1" t="s">
        <v>102</v>
      </c>
    </row>
    <row r="273" spans="1:4">
      <c r="A273" s="1">
        <v>69021</v>
      </c>
      <c r="B273" s="1" t="s">
        <v>438</v>
      </c>
      <c r="C273" s="1" t="s">
        <v>500</v>
      </c>
      <c r="D273" s="1" t="s">
        <v>93</v>
      </c>
    </row>
    <row r="274" spans="1:4">
      <c r="A274" s="1">
        <v>69022</v>
      </c>
      <c r="B274" s="1" t="s">
        <v>439</v>
      </c>
      <c r="C274" s="1" t="s">
        <v>507</v>
      </c>
      <c r="D274" s="1" t="s">
        <v>87</v>
      </c>
    </row>
    <row r="275" spans="1:4">
      <c r="A275" s="1">
        <v>70001</v>
      </c>
      <c r="B275" s="1" t="s">
        <v>689</v>
      </c>
      <c r="C275" s="1" t="s">
        <v>500</v>
      </c>
      <c r="D275" s="1" t="s">
        <v>76</v>
      </c>
    </row>
    <row r="276" spans="1:4">
      <c r="A276" s="1">
        <v>70002</v>
      </c>
      <c r="B276" s="1" t="s">
        <v>690</v>
      </c>
      <c r="C276" s="1" t="s">
        <v>500</v>
      </c>
      <c r="D276" s="1" t="s">
        <v>110</v>
      </c>
    </row>
    <row r="277" spans="1:4">
      <c r="A277" s="1">
        <v>70003</v>
      </c>
      <c r="B277" s="1" t="s">
        <v>691</v>
      </c>
      <c r="C277" s="1" t="s">
        <v>500</v>
      </c>
      <c r="D277" s="1" t="s">
        <v>102</v>
      </c>
    </row>
    <row r="278" spans="1:4">
      <c r="A278" s="1">
        <v>70004</v>
      </c>
      <c r="B278" s="1" t="s">
        <v>443</v>
      </c>
      <c r="C278" s="1" t="s">
        <v>500</v>
      </c>
      <c r="D278" s="1" t="s">
        <v>66</v>
      </c>
    </row>
    <row r="279" spans="1:4">
      <c r="A279" s="1">
        <v>71001</v>
      </c>
      <c r="B279" s="1" t="s">
        <v>692</v>
      </c>
      <c r="C279" s="1" t="s">
        <v>500</v>
      </c>
      <c r="D279" s="1" t="s">
        <v>98</v>
      </c>
    </row>
    <row r="280" spans="1:4">
      <c r="A280" s="1">
        <v>71002</v>
      </c>
      <c r="B280" s="1" t="s">
        <v>693</v>
      </c>
      <c r="C280" s="1" t="s">
        <v>500</v>
      </c>
      <c r="D280" s="1" t="s">
        <v>72</v>
      </c>
    </row>
    <row r="281" spans="1:4">
      <c r="A281" s="1">
        <v>71004</v>
      </c>
      <c r="B281" s="1" t="s">
        <v>694</v>
      </c>
      <c r="C281" s="1" t="s">
        <v>500</v>
      </c>
      <c r="D281" s="1" t="s">
        <v>93</v>
      </c>
    </row>
    <row r="282" spans="1:4">
      <c r="A282" s="1">
        <v>72001</v>
      </c>
      <c r="B282" s="1" t="s">
        <v>447</v>
      </c>
      <c r="C282" s="1" t="s">
        <v>500</v>
      </c>
      <c r="D282" s="1" t="s">
        <v>110</v>
      </c>
    </row>
    <row r="283" spans="1:4">
      <c r="A283" s="1">
        <v>73001</v>
      </c>
      <c r="B283" s="1" t="s">
        <v>695</v>
      </c>
      <c r="C283" s="1" t="s">
        <v>500</v>
      </c>
      <c r="D283" s="1" t="s">
        <v>98</v>
      </c>
    </row>
    <row r="284" spans="1:4">
      <c r="A284" s="1">
        <v>73002</v>
      </c>
      <c r="B284" s="1" t="s">
        <v>696</v>
      </c>
      <c r="C284" s="1" t="s">
        <v>500</v>
      </c>
      <c r="D284" s="1" t="s">
        <v>102</v>
      </c>
    </row>
    <row r="285" spans="1:4">
      <c r="A285" s="1">
        <v>73003</v>
      </c>
      <c r="B285" s="1" t="s">
        <v>697</v>
      </c>
      <c r="C285" s="1" t="s">
        <v>500</v>
      </c>
      <c r="D285" s="1" t="s">
        <v>102</v>
      </c>
    </row>
    <row r="286" spans="1:4">
      <c r="A286" s="1">
        <v>73004</v>
      </c>
      <c r="B286" s="1" t="s">
        <v>698</v>
      </c>
      <c r="C286" s="1" t="s">
        <v>507</v>
      </c>
      <c r="D286" s="1" t="s">
        <v>93</v>
      </c>
    </row>
    <row r="287" spans="1:4">
      <c r="A287" s="1">
        <v>73005</v>
      </c>
      <c r="B287" s="1" t="s">
        <v>452</v>
      </c>
      <c r="C287" s="1" t="s">
        <v>507</v>
      </c>
      <c r="D287" s="1" t="s">
        <v>93</v>
      </c>
    </row>
    <row r="288" spans="1:4">
      <c r="A288" s="1">
        <v>73006</v>
      </c>
      <c r="B288" s="1" t="s">
        <v>699</v>
      </c>
      <c r="C288" s="1" t="s">
        <v>500</v>
      </c>
      <c r="D288" s="1" t="s">
        <v>76</v>
      </c>
    </row>
    <row r="289" spans="1:4">
      <c r="A289" s="1">
        <v>73007</v>
      </c>
      <c r="B289" s="1" t="s">
        <v>700</v>
      </c>
      <c r="C289" s="1" t="s">
        <v>507</v>
      </c>
      <c r="D289" s="1" t="s">
        <v>93</v>
      </c>
    </row>
    <row r="290" spans="1:4">
      <c r="A290" s="1">
        <v>73009</v>
      </c>
      <c r="B290" s="1" t="s">
        <v>701</v>
      </c>
      <c r="C290" s="1" t="s">
        <v>500</v>
      </c>
      <c r="D290" s="1" t="s">
        <v>702</v>
      </c>
    </row>
    <row r="291" spans="1:4">
      <c r="A291" s="1">
        <v>74001</v>
      </c>
      <c r="B291" s="1" t="s">
        <v>703</v>
      </c>
      <c r="C291" s="1" t="s">
        <v>500</v>
      </c>
      <c r="D291" s="1" t="s">
        <v>98</v>
      </c>
    </row>
    <row r="292" spans="1:4">
      <c r="A292" s="1">
        <v>74003</v>
      </c>
      <c r="B292" s="1" t="s">
        <v>457</v>
      </c>
      <c r="C292" s="1" t="s">
        <v>500</v>
      </c>
      <c r="D292" s="1" t="s">
        <v>102</v>
      </c>
    </row>
    <row r="293" spans="1:4">
      <c r="A293" s="1">
        <v>75001</v>
      </c>
      <c r="B293" s="1" t="s">
        <v>458</v>
      </c>
      <c r="C293" s="1" t="s">
        <v>500</v>
      </c>
      <c r="D293" s="1" t="s">
        <v>76</v>
      </c>
    </row>
    <row r="294" spans="1:4">
      <c r="A294" s="1">
        <v>76001</v>
      </c>
      <c r="B294" s="1" t="s">
        <v>704</v>
      </c>
      <c r="C294" s="1" t="s">
        <v>507</v>
      </c>
      <c r="D294" s="1" t="s">
        <v>93</v>
      </c>
    </row>
    <row r="295" spans="1:4">
      <c r="A295" s="1">
        <v>77001</v>
      </c>
      <c r="B295" s="1" t="s">
        <v>705</v>
      </c>
      <c r="C295" s="1" t="s">
        <v>507</v>
      </c>
      <c r="D295" s="1" t="s">
        <v>93</v>
      </c>
    </row>
    <row r="296" spans="1:4">
      <c r="A296" s="1">
        <v>77002</v>
      </c>
      <c r="B296" s="1" t="s">
        <v>706</v>
      </c>
      <c r="C296" s="1" t="s">
        <v>500</v>
      </c>
      <c r="D296" s="1" t="s">
        <v>102</v>
      </c>
    </row>
    <row r="297" spans="1:4">
      <c r="A297" s="1">
        <v>78001</v>
      </c>
      <c r="B297" s="1" t="s">
        <v>462</v>
      </c>
      <c r="C297" s="1" t="s">
        <v>500</v>
      </c>
      <c r="D297" s="1" t="s">
        <v>76</v>
      </c>
    </row>
    <row r="298" spans="1:4">
      <c r="A298" s="1">
        <v>78002</v>
      </c>
      <c r="B298" s="1" t="s">
        <v>707</v>
      </c>
      <c r="C298" s="1" t="s">
        <v>500</v>
      </c>
      <c r="D298" s="1" t="s">
        <v>76</v>
      </c>
    </row>
    <row r="299" spans="1:4">
      <c r="A299" s="1">
        <v>79002</v>
      </c>
      <c r="B299" s="1" t="s">
        <v>464</v>
      </c>
      <c r="C299" s="1" t="s">
        <v>500</v>
      </c>
      <c r="D299" s="1" t="s">
        <v>110</v>
      </c>
    </row>
    <row r="300" spans="1:4">
      <c r="A300" s="1">
        <v>79003</v>
      </c>
      <c r="B300" s="1" t="s">
        <v>708</v>
      </c>
      <c r="C300" s="1" t="s">
        <v>507</v>
      </c>
      <c r="D300" s="1" t="s">
        <v>93</v>
      </c>
    </row>
    <row r="301" spans="1:4">
      <c r="A301" s="1">
        <v>80001</v>
      </c>
      <c r="B301" s="1" t="s">
        <v>709</v>
      </c>
      <c r="C301" s="1" t="s">
        <v>507</v>
      </c>
      <c r="D301" s="1" t="s">
        <v>93</v>
      </c>
    </row>
    <row r="302" spans="1:4">
      <c r="A302" s="1">
        <v>80002</v>
      </c>
      <c r="B302" s="1" t="s">
        <v>467</v>
      </c>
      <c r="C302" s="1" t="s">
        <v>500</v>
      </c>
      <c r="D302" s="1" t="s">
        <v>72</v>
      </c>
    </row>
    <row r="303" spans="1:4">
      <c r="A303" s="1">
        <v>80003</v>
      </c>
      <c r="B303" s="1" t="s">
        <v>710</v>
      </c>
      <c r="C303" s="1" t="s">
        <v>500</v>
      </c>
      <c r="D303" s="1" t="s">
        <v>72</v>
      </c>
    </row>
    <row r="304" spans="1:4">
      <c r="A304" s="1">
        <v>81001</v>
      </c>
      <c r="B304" s="1" t="s">
        <v>711</v>
      </c>
      <c r="C304" s="1" t="s">
        <v>500</v>
      </c>
      <c r="D304" s="1" t="s">
        <v>110</v>
      </c>
    </row>
    <row r="305" spans="1:4">
      <c r="A305" s="1">
        <v>81002</v>
      </c>
      <c r="B305" s="1" t="s">
        <v>470</v>
      </c>
      <c r="C305" s="1" t="s">
        <v>500</v>
      </c>
      <c r="D305" s="1" t="s">
        <v>98</v>
      </c>
    </row>
    <row r="306" spans="1:4">
      <c r="A306" s="1">
        <v>81003</v>
      </c>
      <c r="B306" s="1" t="s">
        <v>712</v>
      </c>
      <c r="C306" s="1" t="s">
        <v>500</v>
      </c>
      <c r="D306" s="1" t="s">
        <v>72</v>
      </c>
    </row>
    <row r="307" spans="1:4">
      <c r="A307" s="1">
        <v>82001</v>
      </c>
      <c r="B307" s="1" t="s">
        <v>713</v>
      </c>
      <c r="C307" s="1" t="s">
        <v>500</v>
      </c>
      <c r="D307" s="1" t="s">
        <v>110</v>
      </c>
    </row>
    <row r="308" spans="1:4">
      <c r="A308" s="1">
        <v>82002</v>
      </c>
      <c r="B308" s="1" t="s">
        <v>714</v>
      </c>
      <c r="C308" s="1" t="s">
        <v>500</v>
      </c>
      <c r="D308" s="1" t="s">
        <v>110</v>
      </c>
    </row>
    <row r="309" spans="1:4">
      <c r="A309" s="1">
        <v>82003</v>
      </c>
      <c r="B309" s="1" t="s">
        <v>715</v>
      </c>
      <c r="C309" s="1" t="s">
        <v>500</v>
      </c>
      <c r="D309" s="1" t="s">
        <v>87</v>
      </c>
    </row>
    <row r="310" spans="1:4">
      <c r="A310" s="1">
        <v>82005</v>
      </c>
      <c r="B310" s="1" t="s">
        <v>716</v>
      </c>
      <c r="C310" s="1" t="s">
        <v>500</v>
      </c>
      <c r="D310" s="1" t="s">
        <v>81</v>
      </c>
    </row>
    <row r="311" spans="1:4">
      <c r="A311" s="1">
        <v>82006</v>
      </c>
      <c r="B311" s="1" t="s">
        <v>717</v>
      </c>
      <c r="C311" s="1" t="s">
        <v>500</v>
      </c>
      <c r="D311" s="1" t="s">
        <v>81</v>
      </c>
    </row>
    <row r="312" spans="1:4">
      <c r="A312" s="1">
        <v>82007</v>
      </c>
      <c r="B312" s="1" t="s">
        <v>718</v>
      </c>
      <c r="C312" s="1" t="s">
        <v>500</v>
      </c>
      <c r="D312" s="1" t="s">
        <v>72</v>
      </c>
    </row>
    <row r="313" spans="1:4">
      <c r="A313" s="1">
        <v>82008</v>
      </c>
      <c r="B313" s="1" t="s">
        <v>719</v>
      </c>
      <c r="C313" s="1" t="s">
        <v>500</v>
      </c>
      <c r="D313" s="1" t="s">
        <v>87</v>
      </c>
    </row>
    <row r="314" spans="1:4">
      <c r="A314" s="1">
        <v>82009</v>
      </c>
      <c r="B314" s="1" t="s">
        <v>479</v>
      </c>
      <c r="C314" s="1" t="s">
        <v>507</v>
      </c>
      <c r="D314" s="1" t="s">
        <v>72</v>
      </c>
    </row>
    <row r="315" spans="1:4">
      <c r="A315" s="1">
        <v>83001</v>
      </c>
      <c r="B315" s="1" t="s">
        <v>720</v>
      </c>
      <c r="C315" s="1" t="s">
        <v>500</v>
      </c>
      <c r="D315" s="1" t="s">
        <v>87</v>
      </c>
    </row>
    <row r="316" spans="1:4">
      <c r="A316" s="1">
        <v>83002</v>
      </c>
      <c r="B316" s="1" t="s">
        <v>481</v>
      </c>
      <c r="C316" s="1" t="s">
        <v>500</v>
      </c>
      <c r="D316" s="1" t="s">
        <v>98</v>
      </c>
    </row>
    <row r="317" spans="1:4">
      <c r="A317" s="1">
        <v>84001</v>
      </c>
      <c r="B317" s="1" t="s">
        <v>721</v>
      </c>
      <c r="C317" s="1" t="s">
        <v>507</v>
      </c>
      <c r="D317" s="1" t="s">
        <v>93</v>
      </c>
    </row>
    <row r="318" spans="1:4">
      <c r="A318" s="1">
        <v>85001</v>
      </c>
      <c r="B318" s="1" t="s">
        <v>722</v>
      </c>
      <c r="C318" s="1" t="s">
        <v>500</v>
      </c>
      <c r="D318" s="1" t="s">
        <v>72</v>
      </c>
    </row>
    <row r="319" spans="1:4">
      <c r="A319" s="1">
        <v>85003</v>
      </c>
      <c r="B319" s="1" t="s">
        <v>723</v>
      </c>
      <c r="C319" s="1" t="s">
        <v>507</v>
      </c>
      <c r="D319" s="1" t="s">
        <v>93</v>
      </c>
    </row>
    <row r="320" spans="1:4">
      <c r="A320" s="1">
        <v>85005</v>
      </c>
      <c r="B320" s="1" t="s">
        <v>724</v>
      </c>
      <c r="C320" s="1" t="s">
        <v>500</v>
      </c>
      <c r="D320" s="1" t="s">
        <v>102</v>
      </c>
    </row>
    <row r="321" spans="1:4">
      <c r="A321" s="1">
        <v>85006</v>
      </c>
      <c r="B321" s="1" t="s">
        <v>486</v>
      </c>
      <c r="C321" s="1" t="s">
        <v>500</v>
      </c>
      <c r="D321" s="1" t="s">
        <v>110</v>
      </c>
    </row>
    <row r="322" spans="1:4">
      <c r="A322" s="1">
        <v>86001</v>
      </c>
      <c r="B322" s="1" t="s">
        <v>725</v>
      </c>
      <c r="C322" s="1" t="s">
        <v>500</v>
      </c>
      <c r="D322" s="1" t="s">
        <v>87</v>
      </c>
    </row>
    <row r="323" spans="1:4">
      <c r="A323" s="1">
        <v>86002</v>
      </c>
      <c r="B323" s="1" t="s">
        <v>726</v>
      </c>
      <c r="C323" s="1" t="s">
        <v>507</v>
      </c>
      <c r="D323" s="1" t="s">
        <v>93</v>
      </c>
    </row>
    <row r="324" spans="1:4">
      <c r="A324" s="1">
        <v>86003</v>
      </c>
      <c r="B324" s="1" t="s">
        <v>489</v>
      </c>
      <c r="C324" s="1" t="s">
        <v>500</v>
      </c>
      <c r="D324" s="1" t="s">
        <v>72</v>
      </c>
    </row>
    <row r="325" spans="1:4">
      <c r="A325" s="1">
        <v>86004</v>
      </c>
      <c r="B325" s="1" t="s">
        <v>490</v>
      </c>
      <c r="C325" s="1" t="s">
        <v>500</v>
      </c>
      <c r="D325" s="1" t="s">
        <v>98</v>
      </c>
    </row>
    <row r="326" spans="1:4">
      <c r="A326" s="1">
        <v>86005</v>
      </c>
      <c r="B326" s="1" t="s">
        <v>727</v>
      </c>
      <c r="C326" s="1" t="s">
        <v>500</v>
      </c>
      <c r="D326" s="1" t="s">
        <v>110</v>
      </c>
    </row>
    <row r="327" spans="1:4">
      <c r="A327" s="1">
        <v>86006</v>
      </c>
      <c r="B327" s="1" t="s">
        <v>728</v>
      </c>
      <c r="C327" s="1" t="s">
        <v>500</v>
      </c>
      <c r="D327" s="1" t="s">
        <v>72</v>
      </c>
    </row>
    <row r="328" spans="1:4">
      <c r="A328" s="1">
        <v>86007</v>
      </c>
      <c r="B328" s="1" t="s">
        <v>493</v>
      </c>
      <c r="C328" s="1" t="s">
        <v>500</v>
      </c>
      <c r="D328" s="1" t="s">
        <v>98</v>
      </c>
    </row>
    <row r="329" spans="1:4">
      <c r="A329" s="1">
        <v>87001</v>
      </c>
      <c r="B329" s="1" t="s">
        <v>729</v>
      </c>
      <c r="C329" s="1" t="s">
        <v>500</v>
      </c>
      <c r="D329" s="1" t="s">
        <v>76</v>
      </c>
    </row>
    <row r="330" spans="1:4">
      <c r="A330" s="1">
        <v>87002</v>
      </c>
      <c r="B330" s="1" t="s">
        <v>730</v>
      </c>
      <c r="C330" s="1" t="s">
        <v>507</v>
      </c>
      <c r="D330" s="1" t="s">
        <v>87</v>
      </c>
    </row>
    <row r="331" spans="1:4">
      <c r="A331" s="1">
        <v>87003</v>
      </c>
      <c r="B331" s="1" t="s">
        <v>731</v>
      </c>
      <c r="C331" s="1" t="s">
        <v>507</v>
      </c>
      <c r="D331" s="1" t="s">
        <v>87</v>
      </c>
    </row>
    <row r="332" spans="1:4">
      <c r="A332" s="1">
        <v>9001</v>
      </c>
      <c r="B332" s="1" t="s">
        <v>732</v>
      </c>
      <c r="C332" s="1" t="s">
        <v>507</v>
      </c>
      <c r="D332" s="1" t="s">
        <v>114</v>
      </c>
    </row>
    <row r="333" spans="1:4">
      <c r="A333" s="1">
        <v>66003</v>
      </c>
      <c r="B333" s="1" t="s">
        <v>733</v>
      </c>
      <c r="C333" s="1" t="s">
        <v>500</v>
      </c>
      <c r="D333" s="1" t="s">
        <v>114</v>
      </c>
    </row>
    <row r="334" spans="1:4">
      <c r="A334" s="1">
        <v>19011</v>
      </c>
      <c r="B334" s="1" t="s">
        <v>734</v>
      </c>
      <c r="C334" s="1" t="s">
        <v>507</v>
      </c>
      <c r="D334" s="1" t="s">
        <v>114</v>
      </c>
    </row>
    <row r="335" spans="1:4">
      <c r="A335" s="1">
        <v>76002</v>
      </c>
      <c r="B335" s="1" t="s">
        <v>735</v>
      </c>
      <c r="C335" s="1" t="s">
        <v>500</v>
      </c>
      <c r="D335" s="1" t="s">
        <v>114</v>
      </c>
    </row>
    <row r="336" spans="1:4">
      <c r="A336" s="1">
        <v>60007</v>
      </c>
      <c r="B336" s="1" t="s">
        <v>736</v>
      </c>
      <c r="C336" s="1" t="s">
        <v>500</v>
      </c>
      <c r="D336" s="1" t="s">
        <v>114</v>
      </c>
    </row>
    <row r="337" spans="1:4">
      <c r="A337" s="1">
        <v>60002</v>
      </c>
      <c r="B337" s="1" t="s">
        <v>737</v>
      </c>
      <c r="C337" s="1" t="s">
        <v>507</v>
      </c>
      <c r="D337" s="1" t="s">
        <v>114</v>
      </c>
    </row>
    <row r="338" spans="1:4">
      <c r="A338" s="1">
        <v>25006</v>
      </c>
      <c r="B338" s="1" t="s">
        <v>738</v>
      </c>
      <c r="C338" s="1" t="s">
        <v>500</v>
      </c>
      <c r="D338" s="1" t="s">
        <v>114</v>
      </c>
    </row>
    <row r="339" spans="1:4">
      <c r="A339" s="1">
        <v>28002</v>
      </c>
      <c r="B339" s="1" t="s">
        <v>739</v>
      </c>
      <c r="C339" s="1" t="s">
        <v>500</v>
      </c>
      <c r="D339" s="1" t="s">
        <v>114</v>
      </c>
    </row>
    <row r="340" spans="1:4">
      <c r="A340" s="1">
        <v>72003</v>
      </c>
      <c r="B340" s="1" t="s">
        <v>740</v>
      </c>
      <c r="C340" s="1" t="s">
        <v>500</v>
      </c>
      <c r="D340" s="1" t="s">
        <v>114</v>
      </c>
    </row>
    <row r="341" spans="1:4">
      <c r="A341" s="1">
        <v>24002</v>
      </c>
      <c r="B341" s="1" t="s">
        <v>741</v>
      </c>
      <c r="C341" s="1" t="s">
        <v>500</v>
      </c>
      <c r="D341" s="1" t="s">
        <v>114</v>
      </c>
    </row>
    <row r="342" spans="1:4">
      <c r="A342" s="1">
        <v>53002</v>
      </c>
      <c r="B342" s="1" t="s">
        <v>742</v>
      </c>
      <c r="C342" s="1" t="s">
        <v>500</v>
      </c>
      <c r="D342" s="1" t="s">
        <v>114</v>
      </c>
    </row>
    <row r="343" spans="1:4">
      <c r="A343" s="1">
        <v>14003</v>
      </c>
      <c r="B343" s="1" t="s">
        <v>743</v>
      </c>
      <c r="C343" s="1" t="s">
        <v>500</v>
      </c>
      <c r="D343" s="1" t="s">
        <v>114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981F3-3BFC-458B-8FB5-DA824140F8A5}">
  <dimension ref="A1:CY332"/>
  <sheetViews>
    <sheetView workbookViewId="0">
      <selection activeCell="P22" sqref="P22"/>
    </sheetView>
  </sheetViews>
  <sheetFormatPr defaultColWidth="8.7109375" defaultRowHeight="14.45"/>
  <cols>
    <col min="1" max="1" width="9.42578125" style="1" customWidth="1"/>
    <col min="2" max="2" width="6.5703125" style="1" bestFit="1" customWidth="1"/>
    <col min="3" max="3" width="8.7109375" style="1" bestFit="1"/>
    <col min="4" max="12" width="5" style="1" bestFit="1" customWidth="1"/>
    <col min="13" max="53" width="6.28515625" style="1" bestFit="1" customWidth="1"/>
    <col min="54" max="62" width="4.5703125" style="1" bestFit="1" customWidth="1"/>
    <col min="63" max="103" width="5.7109375" style="1" bestFit="1" customWidth="1"/>
    <col min="104" max="16384" width="8.7109375" style="1"/>
  </cols>
  <sheetData>
    <row r="1" spans="1:103">
      <c r="A1" s="1" t="s">
        <v>744</v>
      </c>
      <c r="F1" s="1" t="s">
        <v>745</v>
      </c>
    </row>
    <row r="3" spans="1:103">
      <c r="A3" s="8" t="s">
        <v>131</v>
      </c>
      <c r="B3" s="8" t="s">
        <v>167</v>
      </c>
      <c r="C3" s="8" t="s">
        <v>746</v>
      </c>
      <c r="D3" s="8" t="s">
        <v>747</v>
      </c>
      <c r="E3" s="8" t="s">
        <v>748</v>
      </c>
      <c r="F3" s="8" t="s">
        <v>749</v>
      </c>
      <c r="G3" s="8" t="s">
        <v>750</v>
      </c>
      <c r="H3" s="8" t="s">
        <v>751</v>
      </c>
      <c r="I3" s="8" t="s">
        <v>752</v>
      </c>
      <c r="J3" s="8" t="s">
        <v>753</v>
      </c>
      <c r="K3" s="8" t="s">
        <v>754</v>
      </c>
      <c r="L3" s="8" t="s">
        <v>755</v>
      </c>
      <c r="M3" s="8" t="s">
        <v>756</v>
      </c>
      <c r="N3" s="8" t="s">
        <v>757</v>
      </c>
      <c r="O3" s="8" t="s">
        <v>758</v>
      </c>
      <c r="P3" s="8" t="s">
        <v>759</v>
      </c>
      <c r="Q3" s="8" t="s">
        <v>760</v>
      </c>
      <c r="R3" s="8" t="s">
        <v>761</v>
      </c>
      <c r="S3" s="8" t="s">
        <v>762</v>
      </c>
      <c r="T3" s="8" t="s">
        <v>763</v>
      </c>
      <c r="U3" s="8" t="s">
        <v>764</v>
      </c>
      <c r="V3" s="8" t="s">
        <v>765</v>
      </c>
      <c r="W3" s="8" t="s">
        <v>766</v>
      </c>
      <c r="X3" s="8" t="s">
        <v>767</v>
      </c>
      <c r="Y3" s="8" t="s">
        <v>768</v>
      </c>
      <c r="Z3" s="8" t="s">
        <v>769</v>
      </c>
      <c r="AA3" s="8" t="s">
        <v>770</v>
      </c>
      <c r="AB3" s="8" t="s">
        <v>771</v>
      </c>
      <c r="AC3" s="8" t="s">
        <v>772</v>
      </c>
      <c r="AD3" s="8" t="s">
        <v>773</v>
      </c>
      <c r="AE3" s="8" t="s">
        <v>774</v>
      </c>
      <c r="AF3" s="8" t="s">
        <v>775</v>
      </c>
      <c r="AG3" s="8" t="s">
        <v>776</v>
      </c>
      <c r="AH3" s="8" t="s">
        <v>777</v>
      </c>
      <c r="AI3" s="8" t="s">
        <v>778</v>
      </c>
      <c r="AJ3" s="8" t="s">
        <v>779</v>
      </c>
      <c r="AK3" s="8" t="s">
        <v>780</v>
      </c>
      <c r="AL3" s="8" t="s">
        <v>781</v>
      </c>
      <c r="AM3" s="8" t="s">
        <v>782</v>
      </c>
      <c r="AN3" s="8" t="s">
        <v>783</v>
      </c>
      <c r="AO3" s="8" t="s">
        <v>784</v>
      </c>
      <c r="AP3" s="8" t="s">
        <v>785</v>
      </c>
      <c r="AQ3" s="8" t="s">
        <v>786</v>
      </c>
      <c r="AR3" s="8" t="s">
        <v>787</v>
      </c>
      <c r="AS3" s="8" t="s">
        <v>788</v>
      </c>
      <c r="AT3" s="8" t="s">
        <v>789</v>
      </c>
      <c r="AU3" s="8" t="s">
        <v>790</v>
      </c>
      <c r="AV3" s="8" t="s">
        <v>791</v>
      </c>
      <c r="AW3" s="8" t="s">
        <v>792</v>
      </c>
      <c r="AX3" s="8" t="s">
        <v>793</v>
      </c>
      <c r="AY3" s="8" t="s">
        <v>794</v>
      </c>
      <c r="AZ3" s="8" t="s">
        <v>795</v>
      </c>
      <c r="BA3" s="8" t="s">
        <v>796</v>
      </c>
      <c r="BB3" s="8" t="s">
        <v>797</v>
      </c>
      <c r="BC3" s="8" t="s">
        <v>798</v>
      </c>
      <c r="BD3" s="8" t="s">
        <v>799</v>
      </c>
      <c r="BE3" s="8" t="s">
        <v>800</v>
      </c>
      <c r="BF3" s="8" t="s">
        <v>801</v>
      </c>
      <c r="BG3" s="8" t="s">
        <v>802</v>
      </c>
      <c r="BH3" s="8" t="s">
        <v>803</v>
      </c>
      <c r="BI3" s="8" t="s">
        <v>804</v>
      </c>
      <c r="BJ3" s="8" t="s">
        <v>805</v>
      </c>
      <c r="BK3" s="8" t="s">
        <v>806</v>
      </c>
      <c r="BL3" s="8" t="s">
        <v>807</v>
      </c>
      <c r="BM3" s="8" t="s">
        <v>808</v>
      </c>
      <c r="BN3" s="8" t="s">
        <v>809</v>
      </c>
      <c r="BO3" s="8" t="s">
        <v>810</v>
      </c>
      <c r="BP3" s="8" t="s">
        <v>811</v>
      </c>
      <c r="BQ3" s="8" t="s">
        <v>812</v>
      </c>
      <c r="BR3" s="8" t="s">
        <v>813</v>
      </c>
      <c r="BS3" s="8" t="s">
        <v>814</v>
      </c>
      <c r="BT3" s="8" t="s">
        <v>815</v>
      </c>
      <c r="BU3" s="8" t="s">
        <v>816</v>
      </c>
      <c r="BV3" s="8" t="s">
        <v>817</v>
      </c>
      <c r="BW3" s="8" t="s">
        <v>818</v>
      </c>
      <c r="BX3" s="8" t="s">
        <v>819</v>
      </c>
      <c r="BY3" s="8" t="s">
        <v>820</v>
      </c>
      <c r="BZ3" s="8" t="s">
        <v>821</v>
      </c>
      <c r="CA3" s="8" t="s">
        <v>822</v>
      </c>
      <c r="CB3" s="8" t="s">
        <v>823</v>
      </c>
      <c r="CC3" s="8" t="s">
        <v>824</v>
      </c>
      <c r="CD3" s="8" t="s">
        <v>825</v>
      </c>
      <c r="CE3" s="8" t="s">
        <v>826</v>
      </c>
      <c r="CF3" s="8" t="s">
        <v>827</v>
      </c>
      <c r="CG3" s="8" t="s">
        <v>828</v>
      </c>
      <c r="CH3" s="8" t="s">
        <v>829</v>
      </c>
      <c r="CI3" s="8" t="s">
        <v>830</v>
      </c>
      <c r="CJ3" s="8" t="s">
        <v>831</v>
      </c>
      <c r="CK3" s="8" t="s">
        <v>832</v>
      </c>
      <c r="CL3" s="8" t="s">
        <v>833</v>
      </c>
      <c r="CM3" s="8" t="s">
        <v>834</v>
      </c>
      <c r="CN3" s="8" t="s">
        <v>835</v>
      </c>
      <c r="CO3" s="8" t="s">
        <v>836</v>
      </c>
      <c r="CP3" s="8" t="s">
        <v>837</v>
      </c>
      <c r="CQ3" s="8" t="s">
        <v>838</v>
      </c>
      <c r="CR3" s="8" t="s">
        <v>839</v>
      </c>
      <c r="CS3" s="8" t="s">
        <v>840</v>
      </c>
      <c r="CT3" s="8" t="s">
        <v>841</v>
      </c>
      <c r="CU3" s="8" t="s">
        <v>842</v>
      </c>
      <c r="CV3" s="8" t="s">
        <v>843</v>
      </c>
      <c r="CW3" s="8" t="s">
        <v>844</v>
      </c>
      <c r="CX3" s="8" t="s">
        <v>845</v>
      </c>
      <c r="CY3" s="8" t="s">
        <v>846</v>
      </c>
    </row>
    <row r="4" spans="1:103">
      <c r="A4" s="19">
        <v>1001</v>
      </c>
      <c r="B4" s="1">
        <v>2024</v>
      </c>
      <c r="C4" s="1">
        <v>13926</v>
      </c>
      <c r="D4" s="1">
        <v>0</v>
      </c>
      <c r="E4" s="1">
        <v>0</v>
      </c>
      <c r="F4" s="1">
        <v>0</v>
      </c>
      <c r="G4" s="1">
        <v>8</v>
      </c>
      <c r="H4" s="1">
        <v>572</v>
      </c>
      <c r="I4" s="1">
        <v>161</v>
      </c>
      <c r="J4" s="1">
        <v>251</v>
      </c>
      <c r="K4" s="1">
        <v>16</v>
      </c>
      <c r="L4" s="1">
        <v>0</v>
      </c>
      <c r="M4" s="1">
        <v>0</v>
      </c>
      <c r="N4" s="1">
        <v>0</v>
      </c>
      <c r="O4" s="1">
        <v>0</v>
      </c>
      <c r="P4" s="1">
        <v>152</v>
      </c>
      <c r="Q4" s="1">
        <v>0</v>
      </c>
      <c r="R4" s="1">
        <v>0</v>
      </c>
      <c r="S4" s="1">
        <v>0</v>
      </c>
      <c r="T4" s="1">
        <v>159</v>
      </c>
      <c r="U4" s="1">
        <v>34</v>
      </c>
      <c r="V4" s="1">
        <v>176</v>
      </c>
      <c r="W4" s="1">
        <v>488</v>
      </c>
      <c r="X4" s="1">
        <v>184</v>
      </c>
      <c r="Y4" s="1">
        <v>674</v>
      </c>
      <c r="Z4" s="1">
        <v>92</v>
      </c>
      <c r="AA4" s="1">
        <v>92</v>
      </c>
      <c r="AB4" s="1">
        <v>79</v>
      </c>
      <c r="AC4" s="1">
        <v>238</v>
      </c>
      <c r="AD4" s="1">
        <v>13</v>
      </c>
      <c r="AE4" s="1">
        <v>359</v>
      </c>
      <c r="AF4" s="1">
        <v>99</v>
      </c>
      <c r="AG4" s="1">
        <v>1691</v>
      </c>
      <c r="AH4" s="1">
        <v>0</v>
      </c>
      <c r="AI4" s="1">
        <v>0</v>
      </c>
      <c r="AJ4" s="1">
        <v>0</v>
      </c>
      <c r="AK4" s="1">
        <v>353</v>
      </c>
      <c r="AL4" s="1">
        <v>0</v>
      </c>
      <c r="AM4" s="1">
        <v>694</v>
      </c>
      <c r="AN4" s="1">
        <v>0</v>
      </c>
      <c r="AO4" s="1">
        <v>463</v>
      </c>
      <c r="AP4" s="1">
        <v>0</v>
      </c>
      <c r="AQ4" s="1">
        <v>482</v>
      </c>
      <c r="AR4" s="1">
        <v>0</v>
      </c>
      <c r="AS4" s="1">
        <v>1407</v>
      </c>
      <c r="AT4" s="1">
        <v>0</v>
      </c>
      <c r="AU4" s="1">
        <v>2429</v>
      </c>
      <c r="AV4" s="1">
        <v>0</v>
      </c>
      <c r="AW4" s="1">
        <v>608</v>
      </c>
      <c r="AX4" s="1">
        <v>0</v>
      </c>
      <c r="AY4" s="1">
        <v>1952</v>
      </c>
      <c r="AZ4" s="1">
        <v>0</v>
      </c>
      <c r="BA4" s="1">
        <v>0</v>
      </c>
    </row>
    <row r="5" spans="1:103">
      <c r="A5" s="19">
        <v>1002</v>
      </c>
      <c r="B5" s="1">
        <v>2024</v>
      </c>
      <c r="C5" s="1">
        <v>19536</v>
      </c>
      <c r="D5" s="1">
        <v>0</v>
      </c>
      <c r="E5" s="1">
        <v>0</v>
      </c>
      <c r="F5" s="1">
        <v>16</v>
      </c>
      <c r="G5" s="1">
        <v>200</v>
      </c>
      <c r="H5" s="1">
        <v>752</v>
      </c>
      <c r="I5" s="1">
        <v>1194</v>
      </c>
      <c r="J5" s="1">
        <v>180</v>
      </c>
      <c r="K5" s="1">
        <v>21</v>
      </c>
      <c r="L5" s="1">
        <v>11</v>
      </c>
      <c r="M5" s="1">
        <v>0</v>
      </c>
      <c r="N5" s="1">
        <v>268</v>
      </c>
      <c r="O5" s="1">
        <v>148</v>
      </c>
      <c r="P5" s="1">
        <v>298</v>
      </c>
      <c r="Q5" s="1">
        <v>615</v>
      </c>
      <c r="R5" s="1">
        <v>92</v>
      </c>
      <c r="S5" s="1">
        <v>231</v>
      </c>
      <c r="T5" s="1">
        <v>68</v>
      </c>
      <c r="U5" s="1">
        <v>0</v>
      </c>
      <c r="V5" s="1">
        <v>0</v>
      </c>
      <c r="W5" s="1">
        <v>91</v>
      </c>
      <c r="X5" s="1">
        <v>168</v>
      </c>
      <c r="Y5" s="1">
        <v>1240</v>
      </c>
      <c r="Z5" s="1">
        <v>0</v>
      </c>
      <c r="AA5" s="1">
        <v>55</v>
      </c>
      <c r="AB5" s="1">
        <v>0</v>
      </c>
      <c r="AC5" s="1">
        <v>301</v>
      </c>
      <c r="AD5" s="1">
        <v>11</v>
      </c>
      <c r="AE5" s="1">
        <v>587</v>
      </c>
      <c r="AF5" s="1">
        <v>20</v>
      </c>
      <c r="AG5" s="1">
        <v>2402</v>
      </c>
      <c r="AH5" s="1">
        <v>0</v>
      </c>
      <c r="AI5" s="1">
        <v>275</v>
      </c>
      <c r="AJ5" s="1">
        <v>0</v>
      </c>
      <c r="AK5" s="1">
        <v>181</v>
      </c>
      <c r="AL5" s="1">
        <v>0</v>
      </c>
      <c r="AM5" s="1">
        <v>1068</v>
      </c>
      <c r="AN5" s="1">
        <v>0</v>
      </c>
      <c r="AO5" s="1">
        <v>684</v>
      </c>
      <c r="AP5" s="1">
        <v>0</v>
      </c>
      <c r="AQ5" s="1">
        <v>731</v>
      </c>
      <c r="AR5" s="1">
        <v>0</v>
      </c>
      <c r="AS5" s="1">
        <v>849</v>
      </c>
      <c r="AT5" s="1">
        <v>482</v>
      </c>
      <c r="AU5" s="1">
        <v>4365</v>
      </c>
      <c r="AV5" s="1">
        <v>0</v>
      </c>
      <c r="AW5" s="1">
        <v>685</v>
      </c>
      <c r="AX5" s="1">
        <v>91</v>
      </c>
      <c r="AY5" s="1">
        <v>715</v>
      </c>
      <c r="AZ5" s="1">
        <v>0</v>
      </c>
      <c r="BA5" s="1">
        <v>441</v>
      </c>
    </row>
    <row r="6" spans="1:103">
      <c r="A6" s="19">
        <v>2001</v>
      </c>
      <c r="B6" s="1">
        <v>2024</v>
      </c>
      <c r="C6" s="1">
        <v>30718</v>
      </c>
      <c r="D6" s="1">
        <v>0</v>
      </c>
      <c r="E6" s="1">
        <v>0</v>
      </c>
      <c r="F6" s="1">
        <v>0</v>
      </c>
      <c r="G6" s="1">
        <v>150</v>
      </c>
      <c r="H6" s="1">
        <v>653</v>
      </c>
      <c r="I6" s="1">
        <v>1159</v>
      </c>
      <c r="J6" s="1">
        <v>660</v>
      </c>
      <c r="K6" s="1">
        <v>86</v>
      </c>
      <c r="L6" s="1">
        <v>0</v>
      </c>
      <c r="M6" s="1">
        <v>0</v>
      </c>
      <c r="N6" s="1">
        <v>0</v>
      </c>
      <c r="O6" s="1">
        <v>43</v>
      </c>
      <c r="P6" s="1">
        <v>23</v>
      </c>
      <c r="Q6" s="1">
        <v>0</v>
      </c>
      <c r="R6" s="1">
        <v>0</v>
      </c>
      <c r="S6" s="1">
        <v>32</v>
      </c>
      <c r="T6" s="1">
        <v>92</v>
      </c>
      <c r="U6" s="1">
        <v>240</v>
      </c>
      <c r="V6" s="1">
        <v>22</v>
      </c>
      <c r="W6" s="1">
        <v>820</v>
      </c>
      <c r="X6" s="1">
        <v>0</v>
      </c>
      <c r="Y6" s="1">
        <v>1560</v>
      </c>
      <c r="Z6" s="1">
        <v>0</v>
      </c>
      <c r="AA6" s="1">
        <v>628</v>
      </c>
      <c r="AB6" s="1">
        <v>91</v>
      </c>
      <c r="AC6" s="1">
        <v>622</v>
      </c>
      <c r="AD6" s="1">
        <v>0</v>
      </c>
      <c r="AE6" s="1">
        <v>1510</v>
      </c>
      <c r="AF6" s="1">
        <v>0</v>
      </c>
      <c r="AG6" s="1">
        <v>1237</v>
      </c>
      <c r="AH6" s="1">
        <v>93</v>
      </c>
      <c r="AI6" s="1">
        <v>660</v>
      </c>
      <c r="AJ6" s="1">
        <v>0</v>
      </c>
      <c r="AK6" s="1">
        <v>308</v>
      </c>
      <c r="AL6" s="1">
        <v>0</v>
      </c>
      <c r="AM6" s="1">
        <v>2091</v>
      </c>
      <c r="AN6" s="1">
        <v>0</v>
      </c>
      <c r="AO6" s="1">
        <v>707</v>
      </c>
      <c r="AP6" s="1">
        <v>0</v>
      </c>
      <c r="AQ6" s="1">
        <v>1902</v>
      </c>
      <c r="AR6" s="1">
        <v>0</v>
      </c>
      <c r="AS6" s="1">
        <v>6201</v>
      </c>
      <c r="AT6" s="1">
        <v>0</v>
      </c>
      <c r="AU6" s="1">
        <v>5594</v>
      </c>
      <c r="AV6" s="1">
        <v>0</v>
      </c>
      <c r="AW6" s="1">
        <v>2487</v>
      </c>
      <c r="AX6" s="1">
        <v>0</v>
      </c>
      <c r="AY6" s="1">
        <v>1047</v>
      </c>
      <c r="AZ6" s="1">
        <v>0</v>
      </c>
      <c r="BA6" s="1">
        <v>0</v>
      </c>
    </row>
    <row r="7" spans="1:103">
      <c r="A7" s="19">
        <v>2002</v>
      </c>
      <c r="B7" s="1">
        <v>2024</v>
      </c>
      <c r="C7" s="1">
        <v>40196</v>
      </c>
      <c r="D7" s="1">
        <v>0</v>
      </c>
      <c r="E7" s="1">
        <v>0</v>
      </c>
      <c r="F7" s="1">
        <v>57</v>
      </c>
      <c r="G7" s="1">
        <v>406</v>
      </c>
      <c r="H7" s="1">
        <v>2212</v>
      </c>
      <c r="I7" s="1">
        <v>8564</v>
      </c>
      <c r="J7" s="1">
        <v>2376</v>
      </c>
      <c r="K7" s="1">
        <v>673</v>
      </c>
      <c r="L7" s="1">
        <v>0</v>
      </c>
      <c r="M7" s="1">
        <v>81</v>
      </c>
      <c r="N7" s="1">
        <v>0</v>
      </c>
      <c r="O7" s="1">
        <v>434</v>
      </c>
      <c r="P7" s="1">
        <v>6</v>
      </c>
      <c r="Q7" s="1">
        <v>905</v>
      </c>
      <c r="R7" s="1">
        <v>0</v>
      </c>
      <c r="S7" s="1">
        <v>191</v>
      </c>
      <c r="T7" s="1">
        <v>0</v>
      </c>
      <c r="U7" s="1">
        <v>101</v>
      </c>
      <c r="V7" s="1">
        <v>1</v>
      </c>
      <c r="W7" s="1">
        <v>1211</v>
      </c>
      <c r="X7" s="1">
        <v>172</v>
      </c>
      <c r="Y7" s="1">
        <v>2301</v>
      </c>
      <c r="Z7" s="1">
        <v>23</v>
      </c>
      <c r="AA7" s="1">
        <v>186</v>
      </c>
      <c r="AB7" s="1">
        <v>0</v>
      </c>
      <c r="AC7" s="1">
        <v>60</v>
      </c>
      <c r="AD7" s="1">
        <v>5</v>
      </c>
      <c r="AE7" s="1">
        <v>237</v>
      </c>
      <c r="AF7" s="1">
        <v>111</v>
      </c>
      <c r="AG7" s="1">
        <v>1321</v>
      </c>
      <c r="AH7" s="1">
        <v>0</v>
      </c>
      <c r="AI7" s="1">
        <v>110</v>
      </c>
      <c r="AJ7" s="1">
        <v>0</v>
      </c>
      <c r="AK7" s="1">
        <v>1231</v>
      </c>
      <c r="AL7" s="1">
        <v>0</v>
      </c>
      <c r="AM7" s="1">
        <v>561</v>
      </c>
      <c r="AN7" s="1">
        <v>0</v>
      </c>
      <c r="AO7" s="1">
        <v>400</v>
      </c>
      <c r="AP7" s="1">
        <v>0</v>
      </c>
      <c r="AQ7" s="1">
        <v>631</v>
      </c>
      <c r="AR7" s="1">
        <v>0</v>
      </c>
      <c r="AS7" s="1">
        <v>1702</v>
      </c>
      <c r="AT7" s="1">
        <v>0</v>
      </c>
      <c r="AU7" s="1">
        <v>7959</v>
      </c>
      <c r="AV7" s="1">
        <v>0</v>
      </c>
      <c r="AW7" s="1">
        <v>1885</v>
      </c>
      <c r="AX7" s="1">
        <v>0</v>
      </c>
      <c r="AY7" s="1">
        <v>919</v>
      </c>
      <c r="AZ7" s="1">
        <v>0</v>
      </c>
      <c r="BA7" s="1">
        <v>3164</v>
      </c>
    </row>
    <row r="8" spans="1:103">
      <c r="A8" s="19">
        <v>2004</v>
      </c>
      <c r="B8" s="1">
        <v>2024</v>
      </c>
      <c r="C8" s="1">
        <v>14531</v>
      </c>
      <c r="D8" s="1">
        <v>0</v>
      </c>
      <c r="E8" s="1">
        <v>0</v>
      </c>
      <c r="F8" s="1">
        <v>0</v>
      </c>
      <c r="G8" s="1">
        <v>322</v>
      </c>
      <c r="H8" s="1">
        <v>1659</v>
      </c>
      <c r="I8" s="1">
        <v>1314</v>
      </c>
      <c r="J8" s="1">
        <v>266</v>
      </c>
      <c r="K8" s="1">
        <v>376</v>
      </c>
      <c r="L8" s="1">
        <v>54</v>
      </c>
      <c r="M8" s="1">
        <v>71</v>
      </c>
      <c r="N8" s="1">
        <v>20</v>
      </c>
      <c r="O8" s="1">
        <v>93</v>
      </c>
      <c r="P8" s="1">
        <v>27</v>
      </c>
      <c r="Q8" s="1">
        <v>91</v>
      </c>
      <c r="R8" s="1">
        <v>0</v>
      </c>
      <c r="S8" s="1">
        <v>98</v>
      </c>
      <c r="T8" s="1">
        <v>0</v>
      </c>
      <c r="U8" s="1">
        <v>621</v>
      </c>
      <c r="V8" s="1">
        <v>0</v>
      </c>
      <c r="W8" s="1">
        <v>209</v>
      </c>
      <c r="X8" s="1">
        <v>0</v>
      </c>
      <c r="Y8" s="1">
        <v>166</v>
      </c>
      <c r="Z8" s="1">
        <v>14</v>
      </c>
      <c r="AA8" s="1">
        <v>128</v>
      </c>
      <c r="AB8" s="1">
        <v>0</v>
      </c>
      <c r="AC8" s="1">
        <v>11</v>
      </c>
      <c r="AD8" s="1">
        <v>168</v>
      </c>
      <c r="AE8" s="1">
        <v>60</v>
      </c>
      <c r="AF8" s="1">
        <v>158</v>
      </c>
      <c r="AG8" s="1">
        <v>515</v>
      </c>
      <c r="AH8" s="1">
        <v>60</v>
      </c>
      <c r="AI8" s="1">
        <v>107</v>
      </c>
      <c r="AJ8" s="1">
        <v>85</v>
      </c>
      <c r="AK8" s="1">
        <v>647</v>
      </c>
      <c r="AL8" s="1">
        <v>0</v>
      </c>
      <c r="AM8" s="1">
        <v>324</v>
      </c>
      <c r="AN8" s="1">
        <v>0</v>
      </c>
      <c r="AO8" s="1">
        <v>557</v>
      </c>
      <c r="AP8" s="1">
        <v>0</v>
      </c>
      <c r="AQ8" s="1">
        <v>226</v>
      </c>
      <c r="AR8" s="1">
        <v>0</v>
      </c>
      <c r="AS8" s="1">
        <v>383</v>
      </c>
      <c r="AT8" s="1">
        <v>0</v>
      </c>
      <c r="AU8" s="1">
        <v>757</v>
      </c>
      <c r="AV8" s="1">
        <v>0</v>
      </c>
      <c r="AW8" s="1">
        <v>1082</v>
      </c>
      <c r="AX8" s="1">
        <v>0</v>
      </c>
      <c r="AY8" s="1">
        <v>3116</v>
      </c>
      <c r="AZ8" s="1">
        <v>0</v>
      </c>
      <c r="BA8" s="1">
        <v>746</v>
      </c>
    </row>
    <row r="9" spans="1:103">
      <c r="A9" s="19">
        <v>2005</v>
      </c>
      <c r="B9" s="1">
        <v>2024</v>
      </c>
      <c r="C9" s="1">
        <v>12663</v>
      </c>
      <c r="D9" s="1">
        <v>0</v>
      </c>
      <c r="E9" s="1">
        <v>0</v>
      </c>
      <c r="F9" s="1">
        <v>16</v>
      </c>
      <c r="G9" s="1">
        <v>61</v>
      </c>
      <c r="H9" s="1">
        <v>493</v>
      </c>
      <c r="I9" s="1">
        <v>1174</v>
      </c>
      <c r="J9" s="1">
        <v>927</v>
      </c>
      <c r="K9" s="1">
        <v>925</v>
      </c>
      <c r="L9" s="1">
        <v>0</v>
      </c>
      <c r="M9" s="1">
        <v>80</v>
      </c>
      <c r="N9" s="1">
        <v>0</v>
      </c>
      <c r="O9" s="1">
        <v>185</v>
      </c>
      <c r="P9" s="1">
        <v>0</v>
      </c>
      <c r="Q9" s="1">
        <v>96</v>
      </c>
      <c r="R9" s="1">
        <v>10</v>
      </c>
      <c r="S9" s="1">
        <v>125</v>
      </c>
      <c r="T9" s="1">
        <v>0</v>
      </c>
      <c r="U9" s="1">
        <v>179</v>
      </c>
      <c r="V9" s="1">
        <v>0</v>
      </c>
      <c r="W9" s="1">
        <v>348</v>
      </c>
      <c r="X9" s="1">
        <v>0</v>
      </c>
      <c r="Y9" s="1">
        <v>618</v>
      </c>
      <c r="Z9" s="1">
        <v>9</v>
      </c>
      <c r="AA9" s="1">
        <v>245</v>
      </c>
      <c r="AB9" s="1">
        <v>0</v>
      </c>
      <c r="AC9" s="1">
        <v>181</v>
      </c>
      <c r="AD9" s="1">
        <v>0</v>
      </c>
      <c r="AE9" s="1">
        <v>787</v>
      </c>
      <c r="AF9" s="1">
        <v>0</v>
      </c>
      <c r="AG9" s="1">
        <v>401</v>
      </c>
      <c r="AH9" s="1">
        <v>0</v>
      </c>
      <c r="AI9" s="1">
        <v>99</v>
      </c>
      <c r="AJ9" s="1">
        <v>0</v>
      </c>
      <c r="AK9" s="1">
        <v>921</v>
      </c>
      <c r="AL9" s="1">
        <v>0</v>
      </c>
      <c r="AM9" s="1">
        <v>120</v>
      </c>
      <c r="AN9" s="1">
        <v>0</v>
      </c>
      <c r="AO9" s="1">
        <v>85</v>
      </c>
      <c r="AP9" s="1">
        <v>0</v>
      </c>
      <c r="AQ9" s="1">
        <v>33</v>
      </c>
      <c r="AR9" s="1">
        <v>0</v>
      </c>
      <c r="AS9" s="1">
        <v>202</v>
      </c>
      <c r="AT9" s="1">
        <v>0</v>
      </c>
      <c r="AU9" s="1">
        <v>1218</v>
      </c>
      <c r="AV9" s="1">
        <v>0</v>
      </c>
      <c r="AW9" s="1">
        <v>543</v>
      </c>
      <c r="AX9" s="1">
        <v>0</v>
      </c>
      <c r="AY9" s="1">
        <v>1601</v>
      </c>
      <c r="AZ9" s="1">
        <v>0</v>
      </c>
      <c r="BA9" s="1">
        <v>981</v>
      </c>
    </row>
    <row r="10" spans="1:103">
      <c r="A10" s="19">
        <v>2006</v>
      </c>
      <c r="B10" s="1">
        <v>2024</v>
      </c>
      <c r="C10" s="1">
        <v>30204</v>
      </c>
      <c r="D10" s="1">
        <v>0</v>
      </c>
      <c r="E10" s="1">
        <v>0</v>
      </c>
      <c r="F10" s="1">
        <v>0</v>
      </c>
      <c r="G10" s="1">
        <v>490</v>
      </c>
      <c r="H10" s="1">
        <v>1187</v>
      </c>
      <c r="I10" s="1">
        <v>3391</v>
      </c>
      <c r="J10" s="1">
        <v>506</v>
      </c>
      <c r="K10" s="1">
        <v>53</v>
      </c>
      <c r="L10" s="1">
        <v>0</v>
      </c>
      <c r="M10" s="1">
        <v>130</v>
      </c>
      <c r="N10" s="1">
        <v>10</v>
      </c>
      <c r="O10" s="1">
        <v>232</v>
      </c>
      <c r="P10" s="1">
        <v>115</v>
      </c>
      <c r="Q10" s="1">
        <v>247</v>
      </c>
      <c r="R10" s="1">
        <v>0</v>
      </c>
      <c r="S10" s="1">
        <v>168</v>
      </c>
      <c r="T10" s="1">
        <v>0</v>
      </c>
      <c r="U10" s="1">
        <v>492</v>
      </c>
      <c r="V10" s="1">
        <v>36</v>
      </c>
      <c r="W10" s="1">
        <v>440</v>
      </c>
      <c r="X10" s="1">
        <v>0</v>
      </c>
      <c r="Y10" s="1">
        <v>2689</v>
      </c>
      <c r="Z10" s="1">
        <v>0</v>
      </c>
      <c r="AA10" s="1">
        <v>26</v>
      </c>
      <c r="AB10" s="1">
        <v>0</v>
      </c>
      <c r="AC10" s="1">
        <v>962</v>
      </c>
      <c r="AD10" s="1">
        <v>0</v>
      </c>
      <c r="AE10" s="1">
        <v>1083</v>
      </c>
      <c r="AF10" s="1">
        <v>0</v>
      </c>
      <c r="AG10" s="1">
        <v>2868</v>
      </c>
      <c r="AH10" s="1">
        <v>0</v>
      </c>
      <c r="AI10" s="1">
        <v>140</v>
      </c>
      <c r="AJ10" s="1">
        <v>0</v>
      </c>
      <c r="AK10" s="1">
        <v>380</v>
      </c>
      <c r="AL10" s="1">
        <v>0</v>
      </c>
      <c r="AM10" s="1">
        <v>1694</v>
      </c>
      <c r="AN10" s="1">
        <v>0</v>
      </c>
      <c r="AO10" s="1">
        <v>747</v>
      </c>
      <c r="AP10" s="1">
        <v>0</v>
      </c>
      <c r="AQ10" s="1">
        <v>438</v>
      </c>
      <c r="AR10" s="1">
        <v>0</v>
      </c>
      <c r="AS10" s="1">
        <v>2983</v>
      </c>
      <c r="AT10" s="1">
        <v>0</v>
      </c>
      <c r="AU10" s="1">
        <v>7344</v>
      </c>
      <c r="AV10" s="1">
        <v>0</v>
      </c>
      <c r="AW10" s="1">
        <v>682</v>
      </c>
      <c r="AX10" s="1">
        <v>0</v>
      </c>
      <c r="AY10" s="1">
        <v>671</v>
      </c>
      <c r="AZ10" s="1">
        <v>0</v>
      </c>
      <c r="BA10" s="1">
        <v>0</v>
      </c>
    </row>
    <row r="11" spans="1:103">
      <c r="A11" s="19">
        <v>3001</v>
      </c>
      <c r="B11" s="1">
        <v>2024</v>
      </c>
      <c r="C11" s="1">
        <v>9958</v>
      </c>
      <c r="D11" s="1">
        <v>0</v>
      </c>
      <c r="E11" s="1">
        <v>0</v>
      </c>
      <c r="F11" s="1">
        <v>306</v>
      </c>
      <c r="G11" s="1">
        <v>135</v>
      </c>
      <c r="H11" s="1">
        <v>95</v>
      </c>
      <c r="I11" s="1">
        <v>219</v>
      </c>
      <c r="J11" s="1">
        <v>227</v>
      </c>
      <c r="K11" s="1">
        <v>0</v>
      </c>
      <c r="L11" s="1">
        <v>0</v>
      </c>
      <c r="M11" s="1">
        <v>145</v>
      </c>
      <c r="N11" s="1">
        <v>0</v>
      </c>
      <c r="O11" s="1">
        <v>165</v>
      </c>
      <c r="P11" s="1">
        <v>0</v>
      </c>
      <c r="Q11" s="1">
        <v>200</v>
      </c>
      <c r="R11" s="1">
        <v>0</v>
      </c>
      <c r="S11" s="1">
        <v>0</v>
      </c>
      <c r="T11" s="1">
        <v>0</v>
      </c>
      <c r="U11" s="1">
        <v>51</v>
      </c>
      <c r="V11" s="1">
        <v>7</v>
      </c>
      <c r="W11" s="1">
        <v>58</v>
      </c>
      <c r="X11" s="1">
        <v>0</v>
      </c>
      <c r="Y11" s="1">
        <v>408</v>
      </c>
      <c r="Z11" s="1">
        <v>0</v>
      </c>
      <c r="AA11" s="1">
        <v>0</v>
      </c>
      <c r="AB11" s="1">
        <v>0</v>
      </c>
      <c r="AC11" s="1">
        <v>222</v>
      </c>
      <c r="AD11" s="1">
        <v>0</v>
      </c>
      <c r="AE11" s="1">
        <v>600</v>
      </c>
      <c r="AF11" s="1">
        <v>0</v>
      </c>
      <c r="AG11" s="1">
        <v>406</v>
      </c>
      <c r="AH11" s="1">
        <v>0</v>
      </c>
      <c r="AI11" s="1">
        <v>0</v>
      </c>
      <c r="AJ11" s="1">
        <v>0</v>
      </c>
      <c r="AK11" s="1">
        <v>217</v>
      </c>
      <c r="AL11" s="1">
        <v>0</v>
      </c>
      <c r="AM11" s="1">
        <v>659</v>
      </c>
      <c r="AN11" s="1">
        <v>0</v>
      </c>
      <c r="AO11" s="1">
        <v>987</v>
      </c>
      <c r="AP11" s="1">
        <v>0</v>
      </c>
      <c r="AQ11" s="1">
        <v>234</v>
      </c>
      <c r="AR11" s="1">
        <v>0</v>
      </c>
      <c r="AS11" s="1">
        <v>442</v>
      </c>
      <c r="AT11" s="1">
        <v>91</v>
      </c>
      <c r="AU11" s="1">
        <v>2007</v>
      </c>
      <c r="AV11" s="1">
        <v>0</v>
      </c>
      <c r="AW11" s="1">
        <v>414</v>
      </c>
      <c r="AX11" s="1">
        <v>0</v>
      </c>
      <c r="AY11" s="1">
        <v>1663</v>
      </c>
      <c r="AZ11" s="1">
        <v>0</v>
      </c>
      <c r="BA11" s="1">
        <v>0</v>
      </c>
    </row>
    <row r="12" spans="1:103">
      <c r="A12" s="19">
        <v>3002</v>
      </c>
      <c r="B12" s="1">
        <v>2024</v>
      </c>
      <c r="C12" s="1">
        <v>13376</v>
      </c>
      <c r="D12" s="1">
        <v>366</v>
      </c>
      <c r="E12" s="1">
        <v>0</v>
      </c>
      <c r="F12" s="1">
        <v>457</v>
      </c>
      <c r="G12" s="1">
        <v>52</v>
      </c>
      <c r="H12" s="1">
        <v>757</v>
      </c>
      <c r="I12" s="1">
        <v>366</v>
      </c>
      <c r="J12" s="1">
        <v>111</v>
      </c>
      <c r="K12" s="1">
        <v>487</v>
      </c>
      <c r="L12" s="1">
        <v>0</v>
      </c>
      <c r="M12" s="1">
        <v>61</v>
      </c>
      <c r="N12" s="1">
        <v>0</v>
      </c>
      <c r="O12" s="1">
        <v>680</v>
      </c>
      <c r="P12" s="1">
        <v>0</v>
      </c>
      <c r="Q12" s="1">
        <v>64</v>
      </c>
      <c r="R12" s="1">
        <v>33</v>
      </c>
      <c r="S12" s="1">
        <v>719</v>
      </c>
      <c r="T12" s="1">
        <v>0</v>
      </c>
      <c r="U12" s="1">
        <v>0</v>
      </c>
      <c r="V12" s="1">
        <v>0</v>
      </c>
      <c r="W12" s="1">
        <v>191</v>
      </c>
      <c r="X12" s="1">
        <v>0</v>
      </c>
      <c r="Y12" s="1">
        <v>170</v>
      </c>
      <c r="Z12" s="1">
        <v>29</v>
      </c>
      <c r="AA12" s="1">
        <v>51</v>
      </c>
      <c r="AB12" s="1">
        <v>0</v>
      </c>
      <c r="AC12" s="1">
        <v>639</v>
      </c>
      <c r="AD12" s="1">
        <v>39</v>
      </c>
      <c r="AE12" s="1">
        <v>250</v>
      </c>
      <c r="AF12" s="1">
        <v>87</v>
      </c>
      <c r="AG12" s="1">
        <v>488</v>
      </c>
      <c r="AH12" s="1">
        <v>0</v>
      </c>
      <c r="AI12" s="1">
        <v>8</v>
      </c>
      <c r="AJ12" s="1">
        <v>0</v>
      </c>
      <c r="AK12" s="1">
        <v>1592</v>
      </c>
      <c r="AL12" s="1">
        <v>0</v>
      </c>
      <c r="AM12" s="1">
        <v>328</v>
      </c>
      <c r="AN12" s="1">
        <v>0</v>
      </c>
      <c r="AO12" s="1">
        <v>1347</v>
      </c>
      <c r="AP12" s="1">
        <v>0</v>
      </c>
      <c r="AQ12" s="1">
        <v>350</v>
      </c>
      <c r="AR12" s="1">
        <v>0</v>
      </c>
      <c r="AS12" s="1">
        <v>1085</v>
      </c>
      <c r="AT12" s="1">
        <v>0</v>
      </c>
      <c r="AU12" s="1">
        <v>1435</v>
      </c>
      <c r="AV12" s="1">
        <v>0</v>
      </c>
      <c r="AW12" s="1">
        <v>231</v>
      </c>
      <c r="AX12" s="1">
        <v>0</v>
      </c>
      <c r="AY12" s="1">
        <v>903</v>
      </c>
      <c r="AZ12" s="1">
        <v>0</v>
      </c>
      <c r="BA12" s="1">
        <v>0</v>
      </c>
    </row>
    <row r="13" spans="1:103">
      <c r="A13" s="19">
        <v>3003</v>
      </c>
      <c r="B13" s="1">
        <v>2024</v>
      </c>
      <c r="C13" s="1">
        <v>25744</v>
      </c>
      <c r="D13" s="1">
        <v>0</v>
      </c>
      <c r="E13" s="1">
        <v>0</v>
      </c>
      <c r="F13" s="1">
        <v>22</v>
      </c>
      <c r="G13" s="1">
        <v>118</v>
      </c>
      <c r="H13" s="1">
        <v>1184</v>
      </c>
      <c r="I13" s="1">
        <v>971</v>
      </c>
      <c r="J13" s="1">
        <v>1164</v>
      </c>
      <c r="K13" s="1">
        <v>5</v>
      </c>
      <c r="L13" s="1">
        <v>0</v>
      </c>
      <c r="M13" s="1">
        <v>3</v>
      </c>
      <c r="N13" s="1">
        <v>0</v>
      </c>
      <c r="O13" s="1">
        <v>33</v>
      </c>
      <c r="P13" s="1">
        <v>0</v>
      </c>
      <c r="Q13" s="1">
        <v>27</v>
      </c>
      <c r="R13" s="1">
        <v>0</v>
      </c>
      <c r="S13" s="1">
        <v>226</v>
      </c>
      <c r="T13" s="1">
        <v>0</v>
      </c>
      <c r="U13" s="1">
        <v>1126</v>
      </c>
      <c r="V13" s="1">
        <v>0</v>
      </c>
      <c r="W13" s="1">
        <v>2020</v>
      </c>
      <c r="X13" s="1">
        <v>0</v>
      </c>
      <c r="Y13" s="1">
        <v>989</v>
      </c>
      <c r="Z13" s="1">
        <v>0</v>
      </c>
      <c r="AA13" s="1">
        <v>1007</v>
      </c>
      <c r="AB13" s="1">
        <v>0</v>
      </c>
      <c r="AC13" s="1">
        <v>100</v>
      </c>
      <c r="AD13" s="1">
        <v>0</v>
      </c>
      <c r="AE13" s="1">
        <v>1514</v>
      </c>
      <c r="AF13" s="1">
        <v>0</v>
      </c>
      <c r="AG13" s="1">
        <v>125</v>
      </c>
      <c r="AH13" s="1">
        <v>14</v>
      </c>
      <c r="AI13" s="1">
        <v>346</v>
      </c>
      <c r="AJ13" s="1">
        <v>0</v>
      </c>
      <c r="AK13" s="1">
        <v>0</v>
      </c>
      <c r="AL13" s="1">
        <v>0</v>
      </c>
      <c r="AM13" s="1">
        <v>2450</v>
      </c>
      <c r="AN13" s="1">
        <v>0</v>
      </c>
      <c r="AO13" s="1">
        <v>932</v>
      </c>
      <c r="AP13" s="1">
        <v>0</v>
      </c>
      <c r="AQ13" s="1">
        <v>970</v>
      </c>
      <c r="AR13" s="1">
        <v>0</v>
      </c>
      <c r="AS13" s="1">
        <v>1963</v>
      </c>
      <c r="AT13" s="1">
        <v>0</v>
      </c>
      <c r="AU13" s="1">
        <v>2754</v>
      </c>
      <c r="AV13" s="1">
        <v>0</v>
      </c>
      <c r="AW13" s="1">
        <v>1957</v>
      </c>
      <c r="AX13" s="1">
        <v>0</v>
      </c>
      <c r="AY13" s="1">
        <v>3722</v>
      </c>
      <c r="AZ13" s="1">
        <v>0</v>
      </c>
      <c r="BA13" s="1">
        <v>2</v>
      </c>
    </row>
    <row r="14" spans="1:103">
      <c r="A14" s="19">
        <v>3004</v>
      </c>
      <c r="B14" s="1">
        <v>2024</v>
      </c>
      <c r="C14" s="1">
        <v>18817</v>
      </c>
      <c r="D14" s="1">
        <v>0</v>
      </c>
      <c r="E14" s="1">
        <v>0</v>
      </c>
      <c r="F14" s="1">
        <v>152</v>
      </c>
      <c r="G14" s="1">
        <v>272</v>
      </c>
      <c r="H14" s="1">
        <v>1412</v>
      </c>
      <c r="I14" s="1">
        <v>2596</v>
      </c>
      <c r="J14" s="1">
        <v>1497</v>
      </c>
      <c r="K14" s="1">
        <v>377</v>
      </c>
      <c r="L14" s="1">
        <v>0</v>
      </c>
      <c r="M14" s="1">
        <v>0</v>
      </c>
      <c r="N14" s="1">
        <v>2</v>
      </c>
      <c r="O14" s="1">
        <v>26</v>
      </c>
      <c r="P14" s="1">
        <v>32</v>
      </c>
      <c r="Q14" s="1">
        <v>491</v>
      </c>
      <c r="R14" s="1">
        <v>27</v>
      </c>
      <c r="S14" s="1">
        <v>238</v>
      </c>
      <c r="T14" s="1">
        <v>0</v>
      </c>
      <c r="U14" s="1">
        <v>434</v>
      </c>
      <c r="V14" s="1">
        <v>0</v>
      </c>
      <c r="W14" s="1">
        <v>35</v>
      </c>
      <c r="X14" s="1">
        <v>0</v>
      </c>
      <c r="Y14" s="1">
        <v>1385</v>
      </c>
      <c r="Z14" s="1">
        <v>0</v>
      </c>
      <c r="AA14" s="1">
        <v>684</v>
      </c>
      <c r="AB14" s="1">
        <v>0</v>
      </c>
      <c r="AC14" s="1">
        <v>0</v>
      </c>
      <c r="AD14" s="1">
        <v>113</v>
      </c>
      <c r="AE14" s="1">
        <v>806</v>
      </c>
      <c r="AF14" s="1">
        <v>77</v>
      </c>
      <c r="AG14" s="1">
        <v>1174</v>
      </c>
      <c r="AH14" s="1">
        <v>0</v>
      </c>
      <c r="AI14" s="1">
        <v>353</v>
      </c>
      <c r="AJ14" s="1">
        <v>0</v>
      </c>
      <c r="AK14" s="1">
        <v>121</v>
      </c>
      <c r="AL14" s="1">
        <v>0</v>
      </c>
      <c r="AM14" s="1">
        <v>773</v>
      </c>
      <c r="AN14" s="1">
        <v>0</v>
      </c>
      <c r="AO14" s="1">
        <v>187</v>
      </c>
      <c r="AP14" s="1">
        <v>0</v>
      </c>
      <c r="AQ14" s="1">
        <v>964</v>
      </c>
      <c r="AR14" s="1">
        <v>0</v>
      </c>
      <c r="AS14" s="1">
        <v>731</v>
      </c>
      <c r="AT14" s="1">
        <v>0</v>
      </c>
      <c r="AU14" s="1">
        <v>2328</v>
      </c>
      <c r="AV14" s="1">
        <v>0</v>
      </c>
      <c r="AW14" s="1">
        <v>955</v>
      </c>
      <c r="AX14" s="1">
        <v>0</v>
      </c>
      <c r="AY14" s="1">
        <v>344</v>
      </c>
      <c r="AZ14" s="1">
        <v>0</v>
      </c>
      <c r="BA14" s="1">
        <v>231</v>
      </c>
    </row>
    <row r="15" spans="1:103">
      <c r="A15" s="19">
        <v>4001</v>
      </c>
      <c r="B15" s="1">
        <v>2024</v>
      </c>
      <c r="C15" s="1">
        <v>10230</v>
      </c>
      <c r="D15" s="1">
        <v>0</v>
      </c>
      <c r="E15" s="1">
        <v>0</v>
      </c>
      <c r="F15" s="1">
        <v>93</v>
      </c>
      <c r="G15" s="1">
        <v>94</v>
      </c>
      <c r="H15" s="1">
        <v>239</v>
      </c>
      <c r="I15" s="1">
        <v>194</v>
      </c>
      <c r="J15" s="1">
        <v>194</v>
      </c>
      <c r="K15" s="1">
        <v>37</v>
      </c>
      <c r="L15" s="1">
        <v>127</v>
      </c>
      <c r="M15" s="1">
        <v>196</v>
      </c>
      <c r="N15" s="1">
        <v>0</v>
      </c>
      <c r="O15" s="1">
        <v>335</v>
      </c>
      <c r="P15" s="1">
        <v>0</v>
      </c>
      <c r="Q15" s="1">
        <v>676</v>
      </c>
      <c r="R15" s="1">
        <v>0</v>
      </c>
      <c r="S15" s="1">
        <v>30</v>
      </c>
      <c r="T15" s="1">
        <v>305</v>
      </c>
      <c r="U15" s="1">
        <v>93</v>
      </c>
      <c r="V15" s="1">
        <v>0</v>
      </c>
      <c r="W15" s="1">
        <v>203</v>
      </c>
      <c r="X15" s="1">
        <v>320</v>
      </c>
      <c r="Y15" s="1">
        <v>691</v>
      </c>
      <c r="Z15" s="1">
        <v>0</v>
      </c>
      <c r="AA15" s="1">
        <v>190</v>
      </c>
      <c r="AB15" s="1">
        <v>0</v>
      </c>
      <c r="AC15" s="1">
        <v>0</v>
      </c>
      <c r="AD15" s="1">
        <v>0</v>
      </c>
      <c r="AE15" s="1">
        <v>14</v>
      </c>
      <c r="AF15" s="1">
        <v>0</v>
      </c>
      <c r="AG15" s="1">
        <v>443</v>
      </c>
      <c r="AH15" s="1">
        <v>0</v>
      </c>
      <c r="AI15" s="1">
        <v>0</v>
      </c>
      <c r="AJ15" s="1">
        <v>0</v>
      </c>
      <c r="AK15" s="1">
        <v>370</v>
      </c>
      <c r="AL15" s="1">
        <v>0</v>
      </c>
      <c r="AM15" s="1">
        <v>356</v>
      </c>
      <c r="AN15" s="1">
        <v>0</v>
      </c>
      <c r="AO15" s="1">
        <v>796</v>
      </c>
      <c r="AP15" s="1">
        <v>0</v>
      </c>
      <c r="AQ15" s="1">
        <v>448</v>
      </c>
      <c r="AR15" s="1">
        <v>0</v>
      </c>
      <c r="AS15" s="1">
        <v>945</v>
      </c>
      <c r="AT15" s="1">
        <v>0</v>
      </c>
      <c r="AU15" s="1">
        <v>2293</v>
      </c>
      <c r="AV15" s="1">
        <v>0</v>
      </c>
      <c r="AW15" s="1">
        <v>92</v>
      </c>
      <c r="AX15" s="1">
        <v>0</v>
      </c>
      <c r="AY15" s="1">
        <v>430</v>
      </c>
      <c r="AZ15" s="1">
        <v>0</v>
      </c>
      <c r="BA15" s="1">
        <v>26</v>
      </c>
    </row>
    <row r="16" spans="1:103">
      <c r="A16" s="19">
        <v>4003</v>
      </c>
      <c r="B16" s="1">
        <v>2024</v>
      </c>
      <c r="C16" s="1">
        <v>25759</v>
      </c>
      <c r="D16" s="1">
        <v>0</v>
      </c>
      <c r="E16" s="1">
        <v>0</v>
      </c>
      <c r="F16" s="1">
        <v>296</v>
      </c>
      <c r="G16" s="1">
        <v>184</v>
      </c>
      <c r="H16" s="1">
        <v>804</v>
      </c>
      <c r="I16" s="1">
        <v>1271</v>
      </c>
      <c r="J16" s="1">
        <v>1254</v>
      </c>
      <c r="K16" s="1">
        <v>373</v>
      </c>
      <c r="L16" s="1">
        <v>0</v>
      </c>
      <c r="M16" s="1">
        <v>263</v>
      </c>
      <c r="N16" s="1">
        <v>0</v>
      </c>
      <c r="O16" s="1">
        <v>477</v>
      </c>
      <c r="P16" s="1">
        <v>10</v>
      </c>
      <c r="Q16" s="1">
        <v>626</v>
      </c>
      <c r="R16" s="1">
        <v>54</v>
      </c>
      <c r="S16" s="1">
        <v>495</v>
      </c>
      <c r="T16" s="1">
        <v>0</v>
      </c>
      <c r="U16" s="1">
        <v>214</v>
      </c>
      <c r="V16" s="1">
        <v>0</v>
      </c>
      <c r="W16" s="1">
        <v>895</v>
      </c>
      <c r="X16" s="1">
        <v>111</v>
      </c>
      <c r="Y16" s="1">
        <v>1454</v>
      </c>
      <c r="Z16" s="1">
        <v>0</v>
      </c>
      <c r="AA16" s="1">
        <v>153</v>
      </c>
      <c r="AB16" s="1">
        <v>0</v>
      </c>
      <c r="AC16" s="1">
        <v>61</v>
      </c>
      <c r="AD16" s="1">
        <v>17</v>
      </c>
      <c r="AE16" s="1">
        <v>718</v>
      </c>
      <c r="AF16" s="1">
        <v>92</v>
      </c>
      <c r="AG16" s="1">
        <v>824</v>
      </c>
      <c r="AH16" s="1">
        <v>0</v>
      </c>
      <c r="AI16" s="1">
        <v>173</v>
      </c>
      <c r="AJ16" s="1">
        <v>20</v>
      </c>
      <c r="AK16" s="1">
        <v>1483</v>
      </c>
      <c r="AL16" s="1">
        <v>0</v>
      </c>
      <c r="AM16" s="1">
        <v>1164</v>
      </c>
      <c r="AN16" s="1">
        <v>0</v>
      </c>
      <c r="AO16" s="1">
        <v>2531</v>
      </c>
      <c r="AP16" s="1">
        <v>0</v>
      </c>
      <c r="AQ16" s="1">
        <v>415</v>
      </c>
      <c r="AR16" s="1">
        <v>0</v>
      </c>
      <c r="AS16" s="1">
        <v>960</v>
      </c>
      <c r="AT16" s="1">
        <v>0</v>
      </c>
      <c r="AU16" s="1">
        <v>3099</v>
      </c>
      <c r="AV16" s="1">
        <v>0</v>
      </c>
      <c r="AW16" s="1">
        <v>1385</v>
      </c>
      <c r="AX16" s="1">
        <v>0</v>
      </c>
      <c r="AY16" s="1">
        <v>3618</v>
      </c>
      <c r="AZ16" s="1">
        <v>0</v>
      </c>
      <c r="BA16" s="1">
        <v>265</v>
      </c>
    </row>
    <row r="17" spans="1:53">
      <c r="A17" s="19">
        <v>4004</v>
      </c>
      <c r="B17" s="1">
        <v>2024</v>
      </c>
      <c r="C17" s="1">
        <v>20825</v>
      </c>
      <c r="D17" s="1">
        <v>0</v>
      </c>
      <c r="E17" s="1">
        <v>0</v>
      </c>
      <c r="F17" s="1">
        <v>27</v>
      </c>
      <c r="G17" s="1">
        <v>78</v>
      </c>
      <c r="H17" s="1">
        <v>641</v>
      </c>
      <c r="I17" s="1">
        <v>1007</v>
      </c>
      <c r="J17" s="1">
        <v>378</v>
      </c>
      <c r="K17" s="1">
        <v>193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14</v>
      </c>
      <c r="S17" s="1">
        <v>26</v>
      </c>
      <c r="T17" s="1">
        <v>0</v>
      </c>
      <c r="U17" s="1">
        <v>0</v>
      </c>
      <c r="V17" s="1">
        <v>0</v>
      </c>
      <c r="W17" s="1">
        <v>817</v>
      </c>
      <c r="X17" s="1">
        <v>91</v>
      </c>
      <c r="Y17" s="1">
        <v>960</v>
      </c>
      <c r="Z17" s="1">
        <v>0</v>
      </c>
      <c r="AA17" s="1">
        <v>240</v>
      </c>
      <c r="AB17" s="1">
        <v>0</v>
      </c>
      <c r="AC17" s="1">
        <v>92</v>
      </c>
      <c r="AD17" s="1">
        <v>88</v>
      </c>
      <c r="AE17" s="1">
        <v>1069</v>
      </c>
      <c r="AF17" s="1">
        <v>0</v>
      </c>
      <c r="AG17" s="1">
        <v>1655</v>
      </c>
      <c r="AH17" s="1">
        <v>0</v>
      </c>
      <c r="AI17" s="1">
        <v>89</v>
      </c>
      <c r="AJ17" s="1">
        <v>0</v>
      </c>
      <c r="AK17" s="1">
        <v>104</v>
      </c>
      <c r="AL17" s="1">
        <v>0</v>
      </c>
      <c r="AM17" s="1">
        <v>910</v>
      </c>
      <c r="AN17" s="1">
        <v>0</v>
      </c>
      <c r="AO17" s="1">
        <v>669</v>
      </c>
      <c r="AP17" s="1">
        <v>0</v>
      </c>
      <c r="AQ17" s="1">
        <v>120</v>
      </c>
      <c r="AR17" s="1">
        <v>0</v>
      </c>
      <c r="AS17" s="1">
        <v>2785</v>
      </c>
      <c r="AT17" s="1">
        <v>0</v>
      </c>
      <c r="AU17" s="1">
        <v>5233</v>
      </c>
      <c r="AV17" s="1">
        <v>0</v>
      </c>
      <c r="AW17" s="1">
        <v>1754</v>
      </c>
      <c r="AX17" s="1">
        <v>0</v>
      </c>
      <c r="AY17" s="1">
        <v>1785</v>
      </c>
      <c r="AZ17" s="1">
        <v>0</v>
      </c>
      <c r="BA17" s="1">
        <v>0</v>
      </c>
    </row>
    <row r="18" spans="1:53">
      <c r="A18" s="19">
        <v>5001</v>
      </c>
      <c r="B18" s="1">
        <v>2024</v>
      </c>
      <c r="C18" s="1">
        <v>26134</v>
      </c>
      <c r="D18" s="1">
        <v>0</v>
      </c>
      <c r="E18" s="1">
        <v>0</v>
      </c>
      <c r="F18" s="1">
        <v>327</v>
      </c>
      <c r="G18" s="1">
        <v>88</v>
      </c>
      <c r="H18" s="1">
        <v>2445</v>
      </c>
      <c r="I18" s="1">
        <v>632</v>
      </c>
      <c r="J18" s="1">
        <v>973</v>
      </c>
      <c r="K18" s="1">
        <v>250</v>
      </c>
      <c r="L18" s="1">
        <v>54</v>
      </c>
      <c r="M18" s="1">
        <v>99</v>
      </c>
      <c r="N18" s="1">
        <v>86</v>
      </c>
      <c r="O18" s="1">
        <v>1316</v>
      </c>
      <c r="P18" s="1">
        <v>151</v>
      </c>
      <c r="Q18" s="1">
        <v>408</v>
      </c>
      <c r="R18" s="1">
        <v>0</v>
      </c>
      <c r="S18" s="1">
        <v>680</v>
      </c>
      <c r="T18" s="1">
        <v>0</v>
      </c>
      <c r="U18" s="1">
        <v>1278</v>
      </c>
      <c r="V18" s="1">
        <v>74</v>
      </c>
      <c r="W18" s="1">
        <v>717</v>
      </c>
      <c r="X18" s="1">
        <v>81</v>
      </c>
      <c r="Y18" s="1">
        <v>231</v>
      </c>
      <c r="Z18" s="1">
        <v>0</v>
      </c>
      <c r="AA18" s="1">
        <v>282</v>
      </c>
      <c r="AB18" s="1">
        <v>0</v>
      </c>
      <c r="AC18" s="1">
        <v>0</v>
      </c>
      <c r="AD18" s="1">
        <v>0</v>
      </c>
      <c r="AE18" s="1">
        <v>1064</v>
      </c>
      <c r="AF18" s="1">
        <v>0</v>
      </c>
      <c r="AG18" s="1">
        <v>17</v>
      </c>
      <c r="AH18" s="1">
        <v>0</v>
      </c>
      <c r="AI18" s="1">
        <v>136</v>
      </c>
      <c r="AJ18" s="1">
        <v>0</v>
      </c>
      <c r="AK18" s="1">
        <v>849</v>
      </c>
      <c r="AL18" s="1">
        <v>0</v>
      </c>
      <c r="AM18" s="1">
        <v>1992</v>
      </c>
      <c r="AN18" s="1">
        <v>0</v>
      </c>
      <c r="AO18" s="1">
        <v>1657</v>
      </c>
      <c r="AP18" s="1">
        <v>0</v>
      </c>
      <c r="AQ18" s="1">
        <v>796</v>
      </c>
      <c r="AR18" s="1">
        <v>0</v>
      </c>
      <c r="AS18" s="1">
        <v>2476</v>
      </c>
      <c r="AT18" s="1">
        <v>0</v>
      </c>
      <c r="AU18" s="1">
        <v>2725</v>
      </c>
      <c r="AV18" s="1">
        <v>0</v>
      </c>
      <c r="AW18" s="1">
        <v>2433</v>
      </c>
      <c r="AX18" s="1">
        <v>0</v>
      </c>
      <c r="AY18" s="1">
        <v>1098</v>
      </c>
      <c r="AZ18" s="1">
        <v>0</v>
      </c>
      <c r="BA18" s="1">
        <v>719</v>
      </c>
    </row>
    <row r="19" spans="1:53">
      <c r="A19" s="19">
        <v>5002</v>
      </c>
      <c r="B19" s="1">
        <v>2024</v>
      </c>
      <c r="C19" s="1">
        <v>40807</v>
      </c>
      <c r="D19" s="1">
        <v>0</v>
      </c>
      <c r="E19" s="1">
        <v>0</v>
      </c>
      <c r="F19" s="1">
        <v>425</v>
      </c>
      <c r="G19" s="1">
        <v>436</v>
      </c>
      <c r="H19" s="1">
        <v>3571</v>
      </c>
      <c r="I19" s="1">
        <v>7742</v>
      </c>
      <c r="J19" s="1">
        <v>325</v>
      </c>
      <c r="K19" s="1">
        <v>96</v>
      </c>
      <c r="L19" s="1">
        <v>92</v>
      </c>
      <c r="M19" s="1">
        <v>93</v>
      </c>
      <c r="N19" s="1">
        <v>163</v>
      </c>
      <c r="O19" s="1">
        <v>530</v>
      </c>
      <c r="P19" s="1">
        <v>89</v>
      </c>
      <c r="Q19" s="1">
        <v>682</v>
      </c>
      <c r="R19" s="1">
        <v>0</v>
      </c>
      <c r="S19" s="1">
        <v>367</v>
      </c>
      <c r="T19" s="1">
        <v>0</v>
      </c>
      <c r="U19" s="1">
        <v>524</v>
      </c>
      <c r="V19" s="1">
        <v>0</v>
      </c>
      <c r="W19" s="1">
        <v>1944</v>
      </c>
      <c r="X19" s="1">
        <v>92</v>
      </c>
      <c r="Y19" s="1">
        <v>1111</v>
      </c>
      <c r="Z19" s="1">
        <v>0</v>
      </c>
      <c r="AA19" s="1">
        <v>0</v>
      </c>
      <c r="AB19" s="1">
        <v>1149</v>
      </c>
      <c r="AC19" s="1">
        <v>0</v>
      </c>
      <c r="AD19" s="1">
        <v>104</v>
      </c>
      <c r="AE19" s="1">
        <v>783</v>
      </c>
      <c r="AF19" s="1">
        <v>0</v>
      </c>
      <c r="AG19" s="1">
        <v>892</v>
      </c>
      <c r="AH19" s="1">
        <v>0</v>
      </c>
      <c r="AI19" s="1">
        <v>122</v>
      </c>
      <c r="AJ19" s="1">
        <v>0</v>
      </c>
      <c r="AK19" s="1">
        <v>76</v>
      </c>
      <c r="AL19" s="1">
        <v>0</v>
      </c>
      <c r="AM19" s="1">
        <v>630</v>
      </c>
      <c r="AN19" s="1">
        <v>0</v>
      </c>
      <c r="AO19" s="1">
        <v>481</v>
      </c>
      <c r="AP19" s="1">
        <v>0</v>
      </c>
      <c r="AQ19" s="1">
        <v>2443</v>
      </c>
      <c r="AR19" s="1">
        <v>0</v>
      </c>
      <c r="AS19" s="1">
        <v>4567</v>
      </c>
      <c r="AT19" s="1">
        <v>0</v>
      </c>
      <c r="AU19" s="1">
        <v>8972</v>
      </c>
      <c r="AV19" s="1">
        <v>0</v>
      </c>
      <c r="AW19" s="1">
        <v>672</v>
      </c>
      <c r="AX19" s="1">
        <v>0</v>
      </c>
      <c r="AY19" s="1">
        <v>1605</v>
      </c>
      <c r="AZ19" s="1">
        <v>0</v>
      </c>
      <c r="BA19" s="1">
        <v>29</v>
      </c>
    </row>
    <row r="20" spans="1:53">
      <c r="A20" s="19">
        <v>5003</v>
      </c>
      <c r="B20" s="1">
        <v>2024</v>
      </c>
      <c r="C20" s="1">
        <v>40815</v>
      </c>
      <c r="D20" s="1">
        <v>0</v>
      </c>
      <c r="E20" s="1">
        <v>363</v>
      </c>
      <c r="F20" s="1">
        <v>177</v>
      </c>
      <c r="G20" s="1">
        <v>415</v>
      </c>
      <c r="H20" s="1">
        <v>1929</v>
      </c>
      <c r="I20" s="1">
        <v>477</v>
      </c>
      <c r="J20" s="1">
        <v>2066</v>
      </c>
      <c r="K20" s="1">
        <v>69</v>
      </c>
      <c r="L20" s="1">
        <v>16</v>
      </c>
      <c r="M20" s="1">
        <v>55</v>
      </c>
      <c r="N20" s="1">
        <v>152</v>
      </c>
      <c r="O20" s="1">
        <v>661</v>
      </c>
      <c r="P20" s="1">
        <v>83</v>
      </c>
      <c r="Q20" s="1">
        <v>109</v>
      </c>
      <c r="R20" s="1">
        <v>0</v>
      </c>
      <c r="S20" s="1">
        <v>237</v>
      </c>
      <c r="T20" s="1">
        <v>0</v>
      </c>
      <c r="U20" s="1">
        <v>1049</v>
      </c>
      <c r="V20" s="1">
        <v>443</v>
      </c>
      <c r="W20" s="1">
        <v>1945</v>
      </c>
      <c r="X20" s="1">
        <v>488</v>
      </c>
      <c r="Y20" s="1">
        <v>1549</v>
      </c>
      <c r="Z20" s="1">
        <v>39</v>
      </c>
      <c r="AA20" s="1">
        <v>829</v>
      </c>
      <c r="AB20" s="1">
        <v>295</v>
      </c>
      <c r="AC20" s="1">
        <v>433</v>
      </c>
      <c r="AD20" s="1">
        <v>272</v>
      </c>
      <c r="AE20" s="1">
        <v>1299</v>
      </c>
      <c r="AF20" s="1">
        <v>0</v>
      </c>
      <c r="AG20" s="1">
        <v>798</v>
      </c>
      <c r="AH20" s="1">
        <v>0</v>
      </c>
      <c r="AI20" s="1">
        <v>119</v>
      </c>
      <c r="AJ20" s="1">
        <v>16</v>
      </c>
      <c r="AK20" s="1">
        <v>918</v>
      </c>
      <c r="AL20" s="1">
        <v>0</v>
      </c>
      <c r="AM20" s="1">
        <v>2104</v>
      </c>
      <c r="AN20" s="1">
        <v>0</v>
      </c>
      <c r="AO20" s="1">
        <v>237</v>
      </c>
      <c r="AP20" s="1">
        <v>0</v>
      </c>
      <c r="AQ20" s="1">
        <v>2422</v>
      </c>
      <c r="AR20" s="1">
        <v>0</v>
      </c>
      <c r="AS20" s="1">
        <v>6509</v>
      </c>
      <c r="AT20" s="1">
        <v>0</v>
      </c>
      <c r="AU20" s="1">
        <v>5412</v>
      </c>
      <c r="AV20" s="1">
        <v>83</v>
      </c>
      <c r="AW20" s="1">
        <v>3697</v>
      </c>
      <c r="AX20" s="1">
        <v>0</v>
      </c>
      <c r="AY20" s="1">
        <v>3050</v>
      </c>
      <c r="AZ20" s="1">
        <v>0</v>
      </c>
      <c r="BA20" s="1">
        <v>0</v>
      </c>
    </row>
    <row r="21" spans="1:53">
      <c r="A21" s="19">
        <v>6001</v>
      </c>
      <c r="B21" s="1">
        <v>2024</v>
      </c>
      <c r="C21" s="1">
        <v>7195</v>
      </c>
      <c r="D21" s="1">
        <v>0</v>
      </c>
      <c r="E21" s="1">
        <v>0</v>
      </c>
      <c r="F21" s="1">
        <v>0</v>
      </c>
      <c r="G21" s="1">
        <v>0</v>
      </c>
      <c r="H21" s="1">
        <v>153</v>
      </c>
      <c r="I21" s="1">
        <v>59</v>
      </c>
      <c r="J21" s="1">
        <v>28</v>
      </c>
      <c r="K21" s="1">
        <v>45</v>
      </c>
      <c r="L21" s="1">
        <v>0</v>
      </c>
      <c r="M21" s="1">
        <v>3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39</v>
      </c>
      <c r="V21" s="1">
        <v>0</v>
      </c>
      <c r="W21" s="1">
        <v>276</v>
      </c>
      <c r="X21" s="1">
        <v>0</v>
      </c>
      <c r="Y21" s="1">
        <v>500</v>
      </c>
      <c r="Z21" s="1">
        <v>0</v>
      </c>
      <c r="AA21" s="1">
        <v>156</v>
      </c>
      <c r="AB21" s="1">
        <v>0</v>
      </c>
      <c r="AC21" s="1">
        <v>27</v>
      </c>
      <c r="AD21" s="1">
        <v>0</v>
      </c>
      <c r="AE21" s="1">
        <v>102</v>
      </c>
      <c r="AF21" s="1">
        <v>38</v>
      </c>
      <c r="AG21" s="1">
        <v>431</v>
      </c>
      <c r="AH21" s="1">
        <v>0</v>
      </c>
      <c r="AI21" s="1">
        <v>0</v>
      </c>
      <c r="AJ21" s="1">
        <v>104</v>
      </c>
      <c r="AK21" s="1">
        <v>615</v>
      </c>
      <c r="AL21" s="1">
        <v>0</v>
      </c>
      <c r="AM21" s="1">
        <v>454</v>
      </c>
      <c r="AN21" s="1">
        <v>0</v>
      </c>
      <c r="AO21" s="1">
        <v>137</v>
      </c>
      <c r="AP21" s="1">
        <v>0</v>
      </c>
      <c r="AQ21" s="1">
        <v>259</v>
      </c>
      <c r="AR21" s="1">
        <v>0</v>
      </c>
      <c r="AS21" s="1">
        <v>66</v>
      </c>
      <c r="AT21" s="1">
        <v>0</v>
      </c>
      <c r="AU21" s="1">
        <v>962</v>
      </c>
      <c r="AV21" s="1">
        <v>0</v>
      </c>
      <c r="AW21" s="1">
        <v>268</v>
      </c>
      <c r="AX21" s="1">
        <v>0</v>
      </c>
      <c r="AY21" s="1">
        <v>2473</v>
      </c>
      <c r="AZ21" s="1">
        <v>0</v>
      </c>
      <c r="BA21" s="1">
        <v>0</v>
      </c>
    </row>
    <row r="22" spans="1:53">
      <c r="A22" s="19">
        <v>6003</v>
      </c>
      <c r="B22" s="1">
        <v>2024</v>
      </c>
      <c r="C22" s="1">
        <v>18107</v>
      </c>
      <c r="D22" s="1">
        <v>0</v>
      </c>
      <c r="E22" s="1">
        <v>0</v>
      </c>
      <c r="F22" s="1">
        <v>249</v>
      </c>
      <c r="G22" s="1">
        <v>0</v>
      </c>
      <c r="H22" s="1">
        <v>436</v>
      </c>
      <c r="I22" s="1">
        <v>286</v>
      </c>
      <c r="J22" s="1">
        <v>506</v>
      </c>
      <c r="K22" s="1">
        <v>108</v>
      </c>
      <c r="L22" s="1">
        <v>0</v>
      </c>
      <c r="M22" s="1">
        <v>0</v>
      </c>
      <c r="N22" s="1">
        <v>0</v>
      </c>
      <c r="O22" s="1">
        <v>1</v>
      </c>
      <c r="P22" s="1">
        <v>0</v>
      </c>
      <c r="Q22" s="1">
        <v>151</v>
      </c>
      <c r="R22" s="1">
        <v>0</v>
      </c>
      <c r="S22" s="1">
        <v>368</v>
      </c>
      <c r="T22" s="1">
        <v>0</v>
      </c>
      <c r="U22" s="1">
        <v>0</v>
      </c>
      <c r="V22" s="1">
        <v>56</v>
      </c>
      <c r="W22" s="1">
        <v>257</v>
      </c>
      <c r="X22" s="1">
        <v>0</v>
      </c>
      <c r="Y22" s="1">
        <v>1234</v>
      </c>
      <c r="Z22" s="1">
        <v>0</v>
      </c>
      <c r="AA22" s="1">
        <v>215</v>
      </c>
      <c r="AB22" s="1">
        <v>0</v>
      </c>
      <c r="AC22" s="1">
        <v>0</v>
      </c>
      <c r="AD22" s="1">
        <v>0</v>
      </c>
      <c r="AE22" s="1">
        <v>183</v>
      </c>
      <c r="AF22" s="1">
        <v>0</v>
      </c>
      <c r="AG22" s="1">
        <v>1438</v>
      </c>
      <c r="AH22" s="1">
        <v>95</v>
      </c>
      <c r="AI22" s="1">
        <v>68</v>
      </c>
      <c r="AJ22" s="1">
        <v>135</v>
      </c>
      <c r="AK22" s="1">
        <v>1091</v>
      </c>
      <c r="AL22" s="1">
        <v>0</v>
      </c>
      <c r="AM22" s="1">
        <v>992</v>
      </c>
      <c r="AN22" s="1">
        <v>0</v>
      </c>
      <c r="AO22" s="1">
        <v>380</v>
      </c>
      <c r="AP22" s="1">
        <v>0</v>
      </c>
      <c r="AQ22" s="1">
        <v>251</v>
      </c>
      <c r="AR22" s="1">
        <v>0</v>
      </c>
      <c r="AS22" s="1">
        <v>1752</v>
      </c>
      <c r="AT22" s="1">
        <v>0</v>
      </c>
      <c r="AU22" s="1">
        <v>3684</v>
      </c>
      <c r="AV22" s="1">
        <v>0</v>
      </c>
      <c r="AW22" s="1">
        <v>2489</v>
      </c>
      <c r="AX22" s="1">
        <v>0</v>
      </c>
      <c r="AY22" s="1">
        <v>1680</v>
      </c>
      <c r="AZ22" s="1">
        <v>2</v>
      </c>
      <c r="BA22" s="1">
        <v>0</v>
      </c>
    </row>
    <row r="23" spans="1:53">
      <c r="A23" s="19">
        <v>7001</v>
      </c>
      <c r="B23" s="1">
        <v>2024</v>
      </c>
      <c r="C23" s="1">
        <v>21331</v>
      </c>
      <c r="D23" s="1">
        <v>0</v>
      </c>
      <c r="E23" s="1">
        <v>0</v>
      </c>
      <c r="F23" s="1">
        <v>299</v>
      </c>
      <c r="G23" s="1">
        <v>18</v>
      </c>
      <c r="H23" s="1">
        <v>3725</v>
      </c>
      <c r="I23" s="1">
        <v>2203</v>
      </c>
      <c r="J23" s="1">
        <v>1654</v>
      </c>
      <c r="K23" s="1">
        <v>191</v>
      </c>
      <c r="L23" s="1">
        <v>0</v>
      </c>
      <c r="M23" s="1">
        <v>0</v>
      </c>
      <c r="N23" s="1">
        <v>6</v>
      </c>
      <c r="O23" s="1">
        <v>246</v>
      </c>
      <c r="P23" s="1">
        <v>0</v>
      </c>
      <c r="Q23" s="1">
        <v>87</v>
      </c>
      <c r="R23" s="1">
        <v>0</v>
      </c>
      <c r="S23" s="1">
        <v>389</v>
      </c>
      <c r="T23" s="1">
        <v>0</v>
      </c>
      <c r="U23" s="1">
        <v>355</v>
      </c>
      <c r="V23" s="1">
        <v>22</v>
      </c>
      <c r="W23" s="1">
        <v>981</v>
      </c>
      <c r="X23" s="1">
        <v>0</v>
      </c>
      <c r="Y23" s="1">
        <v>558</v>
      </c>
      <c r="Z23" s="1">
        <v>0</v>
      </c>
      <c r="AA23" s="1">
        <v>185</v>
      </c>
      <c r="AB23" s="1">
        <v>0</v>
      </c>
      <c r="AC23" s="1">
        <v>0</v>
      </c>
      <c r="AD23" s="1">
        <v>0</v>
      </c>
      <c r="AE23" s="1">
        <v>2116</v>
      </c>
      <c r="AF23" s="1">
        <v>0</v>
      </c>
      <c r="AG23" s="1">
        <v>540</v>
      </c>
      <c r="AH23" s="1">
        <v>0</v>
      </c>
      <c r="AI23" s="1">
        <v>198</v>
      </c>
      <c r="AJ23" s="1">
        <v>0</v>
      </c>
      <c r="AK23" s="1">
        <v>235</v>
      </c>
      <c r="AL23" s="1">
        <v>0</v>
      </c>
      <c r="AM23" s="1">
        <v>475</v>
      </c>
      <c r="AN23" s="1">
        <v>0</v>
      </c>
      <c r="AO23" s="1">
        <v>62</v>
      </c>
      <c r="AP23" s="1">
        <v>0</v>
      </c>
      <c r="AQ23" s="1">
        <v>130</v>
      </c>
      <c r="AR23" s="1">
        <v>0</v>
      </c>
      <c r="AS23" s="1">
        <v>2983</v>
      </c>
      <c r="AT23" s="1">
        <v>0</v>
      </c>
      <c r="AU23" s="1">
        <v>1828</v>
      </c>
      <c r="AV23" s="1">
        <v>0</v>
      </c>
      <c r="AW23" s="1">
        <v>1028</v>
      </c>
      <c r="AX23" s="1">
        <v>0</v>
      </c>
      <c r="AY23" s="1">
        <v>817</v>
      </c>
      <c r="AZ23" s="1">
        <v>0</v>
      </c>
      <c r="BA23" s="1">
        <v>0</v>
      </c>
    </row>
    <row r="24" spans="1:53">
      <c r="A24" s="19">
        <v>7002</v>
      </c>
      <c r="B24" s="1">
        <v>2024</v>
      </c>
      <c r="C24" s="1">
        <v>22784</v>
      </c>
      <c r="D24" s="1">
        <v>0</v>
      </c>
      <c r="E24" s="1">
        <v>27</v>
      </c>
      <c r="F24" s="1">
        <v>100</v>
      </c>
      <c r="G24" s="1">
        <v>0</v>
      </c>
      <c r="H24" s="1">
        <v>642</v>
      </c>
      <c r="I24" s="1">
        <v>1018</v>
      </c>
      <c r="J24" s="1">
        <v>721</v>
      </c>
      <c r="K24" s="1">
        <v>119</v>
      </c>
      <c r="L24" s="1">
        <v>0</v>
      </c>
      <c r="M24" s="1">
        <v>91</v>
      </c>
      <c r="N24" s="1">
        <v>0</v>
      </c>
      <c r="O24" s="1">
        <v>192</v>
      </c>
      <c r="P24" s="1">
        <v>54</v>
      </c>
      <c r="Q24" s="1">
        <v>771</v>
      </c>
      <c r="R24" s="1">
        <v>17</v>
      </c>
      <c r="S24" s="1">
        <v>1108</v>
      </c>
      <c r="T24" s="1">
        <v>0</v>
      </c>
      <c r="U24" s="1">
        <v>518</v>
      </c>
      <c r="V24" s="1">
        <v>0</v>
      </c>
      <c r="W24" s="1">
        <v>348</v>
      </c>
      <c r="X24" s="1">
        <v>72</v>
      </c>
      <c r="Y24" s="1">
        <v>1642</v>
      </c>
      <c r="Z24" s="1">
        <v>0</v>
      </c>
      <c r="AA24" s="1">
        <v>580</v>
      </c>
      <c r="AB24" s="1">
        <v>0</v>
      </c>
      <c r="AC24" s="1">
        <v>99</v>
      </c>
      <c r="AD24" s="1">
        <v>0</v>
      </c>
      <c r="AE24" s="1">
        <v>336</v>
      </c>
      <c r="AF24" s="1">
        <v>185</v>
      </c>
      <c r="AG24" s="1">
        <v>1532</v>
      </c>
      <c r="AH24" s="1">
        <v>81</v>
      </c>
      <c r="AI24" s="1">
        <v>78</v>
      </c>
      <c r="AJ24" s="1">
        <v>94</v>
      </c>
      <c r="AK24" s="1">
        <v>1284</v>
      </c>
      <c r="AL24" s="1">
        <v>0</v>
      </c>
      <c r="AM24" s="1">
        <v>918</v>
      </c>
      <c r="AN24" s="1">
        <v>0</v>
      </c>
      <c r="AO24" s="1">
        <v>1206</v>
      </c>
      <c r="AP24" s="1">
        <v>0</v>
      </c>
      <c r="AQ24" s="1">
        <v>354</v>
      </c>
      <c r="AR24" s="1">
        <v>0</v>
      </c>
      <c r="AS24" s="1">
        <v>1216</v>
      </c>
      <c r="AT24" s="1">
        <v>0</v>
      </c>
      <c r="AU24" s="1">
        <v>3447</v>
      </c>
      <c r="AV24" s="1">
        <v>0</v>
      </c>
      <c r="AW24" s="1">
        <v>1089</v>
      </c>
      <c r="AX24" s="1">
        <v>0</v>
      </c>
      <c r="AY24" s="1">
        <v>2001</v>
      </c>
      <c r="AZ24" s="1">
        <v>0</v>
      </c>
      <c r="BA24" s="1">
        <v>844</v>
      </c>
    </row>
    <row r="25" spans="1:53">
      <c r="A25" s="19">
        <v>7003</v>
      </c>
      <c r="B25" s="1">
        <v>2024</v>
      </c>
      <c r="C25" s="1">
        <v>17738</v>
      </c>
      <c r="D25" s="1">
        <v>0</v>
      </c>
      <c r="E25" s="1">
        <v>0</v>
      </c>
      <c r="F25" s="1">
        <v>0</v>
      </c>
      <c r="G25" s="1">
        <v>384</v>
      </c>
      <c r="H25" s="1">
        <v>908</v>
      </c>
      <c r="I25" s="1">
        <v>675</v>
      </c>
      <c r="J25" s="1">
        <v>353</v>
      </c>
      <c r="K25" s="1">
        <v>200</v>
      </c>
      <c r="L25" s="1">
        <v>0</v>
      </c>
      <c r="M25" s="1">
        <v>403</v>
      </c>
      <c r="N25" s="1">
        <v>29</v>
      </c>
      <c r="O25" s="1">
        <v>0</v>
      </c>
      <c r="P25" s="1">
        <v>0</v>
      </c>
      <c r="Q25" s="1">
        <v>5</v>
      </c>
      <c r="R25" s="1">
        <v>0</v>
      </c>
      <c r="S25" s="1">
        <v>61</v>
      </c>
      <c r="T25" s="1">
        <v>0</v>
      </c>
      <c r="U25" s="1">
        <v>946</v>
      </c>
      <c r="V25" s="1">
        <v>193</v>
      </c>
      <c r="W25" s="1">
        <v>1487</v>
      </c>
      <c r="X25" s="1">
        <v>182</v>
      </c>
      <c r="Y25" s="1">
        <v>737</v>
      </c>
      <c r="Z25" s="1">
        <v>63</v>
      </c>
      <c r="AA25" s="1">
        <v>92</v>
      </c>
      <c r="AB25" s="1">
        <v>64</v>
      </c>
      <c r="AC25" s="1">
        <v>63</v>
      </c>
      <c r="AD25" s="1">
        <v>22</v>
      </c>
      <c r="AE25" s="1">
        <v>944</v>
      </c>
      <c r="AF25" s="1">
        <v>11</v>
      </c>
      <c r="AG25" s="1">
        <v>262</v>
      </c>
      <c r="AH25" s="1">
        <v>0</v>
      </c>
      <c r="AI25" s="1">
        <v>7</v>
      </c>
      <c r="AJ25" s="1">
        <v>0</v>
      </c>
      <c r="AK25" s="1">
        <v>359</v>
      </c>
      <c r="AL25" s="1">
        <v>0</v>
      </c>
      <c r="AM25" s="1">
        <v>659</v>
      </c>
      <c r="AN25" s="1">
        <v>0</v>
      </c>
      <c r="AO25" s="1">
        <v>1183</v>
      </c>
      <c r="AP25" s="1">
        <v>0</v>
      </c>
      <c r="AQ25" s="1">
        <v>558</v>
      </c>
      <c r="AR25" s="1">
        <v>0</v>
      </c>
      <c r="AS25" s="1">
        <v>2102</v>
      </c>
      <c r="AT25" s="1">
        <v>0</v>
      </c>
      <c r="AU25" s="1">
        <v>2306</v>
      </c>
      <c r="AV25" s="1">
        <v>0</v>
      </c>
      <c r="AW25" s="1">
        <v>545</v>
      </c>
      <c r="AX25" s="1">
        <v>0</v>
      </c>
      <c r="AY25" s="1">
        <v>1876</v>
      </c>
      <c r="AZ25" s="1">
        <v>0</v>
      </c>
      <c r="BA25" s="1">
        <v>59</v>
      </c>
    </row>
    <row r="26" spans="1:53">
      <c r="A26" s="19">
        <v>7004</v>
      </c>
      <c r="B26" s="1">
        <v>2024</v>
      </c>
      <c r="C26" s="1">
        <v>19418</v>
      </c>
      <c r="D26" s="1">
        <v>0</v>
      </c>
      <c r="E26" s="1">
        <v>0</v>
      </c>
      <c r="F26" s="1">
        <v>39</v>
      </c>
      <c r="G26" s="1">
        <v>103</v>
      </c>
      <c r="H26" s="1">
        <v>1546</v>
      </c>
      <c r="I26" s="1">
        <v>1123</v>
      </c>
      <c r="J26" s="1">
        <v>1298</v>
      </c>
      <c r="K26" s="1">
        <v>293</v>
      </c>
      <c r="L26" s="1">
        <v>0</v>
      </c>
      <c r="M26" s="1">
        <v>0</v>
      </c>
      <c r="N26" s="1">
        <v>0</v>
      </c>
      <c r="O26" s="1">
        <v>215</v>
      </c>
      <c r="P26" s="1">
        <v>0</v>
      </c>
      <c r="Q26" s="1">
        <v>109</v>
      </c>
      <c r="R26" s="1">
        <v>0</v>
      </c>
      <c r="S26" s="1">
        <v>312</v>
      </c>
      <c r="T26" s="1">
        <v>0</v>
      </c>
      <c r="U26" s="1">
        <v>91</v>
      </c>
      <c r="V26" s="1">
        <v>0</v>
      </c>
      <c r="W26" s="1">
        <v>1280</v>
      </c>
      <c r="X26" s="1">
        <v>0</v>
      </c>
      <c r="Y26" s="1">
        <v>825</v>
      </c>
      <c r="Z26" s="1">
        <v>0</v>
      </c>
      <c r="AA26" s="1">
        <v>1117</v>
      </c>
      <c r="AB26" s="1">
        <v>0</v>
      </c>
      <c r="AC26" s="1">
        <v>42</v>
      </c>
      <c r="AD26" s="1">
        <v>0</v>
      </c>
      <c r="AE26" s="1">
        <v>1393</v>
      </c>
      <c r="AF26" s="1">
        <v>27</v>
      </c>
      <c r="AG26" s="1">
        <v>161</v>
      </c>
      <c r="AH26" s="1">
        <v>0</v>
      </c>
      <c r="AI26" s="1">
        <v>25</v>
      </c>
      <c r="AJ26" s="1">
        <v>0</v>
      </c>
      <c r="AK26" s="1">
        <v>215</v>
      </c>
      <c r="AL26" s="1">
        <v>0</v>
      </c>
      <c r="AM26" s="1">
        <v>158</v>
      </c>
      <c r="AN26" s="1">
        <v>0</v>
      </c>
      <c r="AO26" s="1">
        <v>292</v>
      </c>
      <c r="AP26" s="1">
        <v>0</v>
      </c>
      <c r="AQ26" s="1">
        <v>1238</v>
      </c>
      <c r="AR26" s="1">
        <v>0</v>
      </c>
      <c r="AS26" s="1">
        <v>2671</v>
      </c>
      <c r="AT26" s="1">
        <v>0</v>
      </c>
      <c r="AU26" s="1">
        <v>1446</v>
      </c>
      <c r="AV26" s="1">
        <v>0</v>
      </c>
      <c r="AW26" s="1">
        <v>586</v>
      </c>
      <c r="AX26" s="1">
        <v>0</v>
      </c>
      <c r="AY26" s="1">
        <v>1643</v>
      </c>
      <c r="AZ26" s="1">
        <v>0</v>
      </c>
      <c r="BA26" s="1">
        <v>1170</v>
      </c>
    </row>
    <row r="27" spans="1:53">
      <c r="A27" s="19">
        <v>7005</v>
      </c>
      <c r="B27" s="1">
        <v>2024</v>
      </c>
      <c r="C27" s="1">
        <v>17644</v>
      </c>
      <c r="D27" s="1">
        <v>0</v>
      </c>
      <c r="E27" s="1">
        <v>361</v>
      </c>
      <c r="F27" s="1">
        <v>254</v>
      </c>
      <c r="G27" s="1">
        <v>92</v>
      </c>
      <c r="H27" s="1">
        <v>875</v>
      </c>
      <c r="I27" s="1">
        <v>1213</v>
      </c>
      <c r="J27" s="1">
        <v>744</v>
      </c>
      <c r="K27" s="1">
        <v>134</v>
      </c>
      <c r="L27" s="1">
        <v>0</v>
      </c>
      <c r="M27" s="1">
        <v>11</v>
      </c>
      <c r="N27" s="1">
        <v>0</v>
      </c>
      <c r="O27" s="1">
        <v>265</v>
      </c>
      <c r="P27" s="1">
        <v>0</v>
      </c>
      <c r="Q27" s="1">
        <v>769</v>
      </c>
      <c r="R27" s="1">
        <v>0</v>
      </c>
      <c r="S27" s="1">
        <v>212</v>
      </c>
      <c r="T27" s="1">
        <v>82</v>
      </c>
      <c r="U27" s="1">
        <v>785</v>
      </c>
      <c r="V27" s="1">
        <v>0</v>
      </c>
      <c r="W27" s="1">
        <v>427</v>
      </c>
      <c r="X27" s="1">
        <v>61</v>
      </c>
      <c r="Y27" s="1">
        <v>657</v>
      </c>
      <c r="Z27" s="1">
        <v>12</v>
      </c>
      <c r="AA27" s="1">
        <v>420</v>
      </c>
      <c r="AB27" s="1">
        <v>0</v>
      </c>
      <c r="AC27" s="1">
        <v>327</v>
      </c>
      <c r="AD27" s="1">
        <v>0</v>
      </c>
      <c r="AE27" s="1">
        <v>22</v>
      </c>
      <c r="AF27" s="1">
        <v>0</v>
      </c>
      <c r="AG27" s="1">
        <v>184</v>
      </c>
      <c r="AH27" s="1">
        <v>0</v>
      </c>
      <c r="AI27" s="1">
        <v>91</v>
      </c>
      <c r="AJ27" s="1">
        <v>23</v>
      </c>
      <c r="AK27" s="1">
        <v>661</v>
      </c>
      <c r="AL27" s="1">
        <v>0</v>
      </c>
      <c r="AM27" s="1">
        <v>114</v>
      </c>
      <c r="AN27" s="1">
        <v>0</v>
      </c>
      <c r="AO27" s="1">
        <v>379</v>
      </c>
      <c r="AP27" s="1">
        <v>0</v>
      </c>
      <c r="AQ27" s="1">
        <v>217</v>
      </c>
      <c r="AR27" s="1">
        <v>0</v>
      </c>
      <c r="AS27" s="1">
        <v>1072</v>
      </c>
      <c r="AT27" s="1">
        <v>0</v>
      </c>
      <c r="AU27" s="1">
        <v>2956</v>
      </c>
      <c r="AV27" s="1">
        <v>0</v>
      </c>
      <c r="AW27" s="1">
        <v>1364</v>
      </c>
      <c r="AX27" s="1">
        <v>0</v>
      </c>
      <c r="AY27" s="1">
        <v>2056</v>
      </c>
      <c r="AZ27" s="1">
        <v>0</v>
      </c>
      <c r="BA27" s="1">
        <v>804</v>
      </c>
    </row>
    <row r="28" spans="1:53">
      <c r="A28" s="19">
        <v>8001</v>
      </c>
      <c r="B28" s="1">
        <v>2024</v>
      </c>
      <c r="C28" s="1">
        <v>29529</v>
      </c>
      <c r="D28" s="1">
        <v>0</v>
      </c>
      <c r="E28" s="1">
        <v>0</v>
      </c>
      <c r="F28" s="1">
        <v>275</v>
      </c>
      <c r="G28" s="1">
        <v>6</v>
      </c>
      <c r="H28" s="1">
        <v>521</v>
      </c>
      <c r="I28" s="1">
        <v>645</v>
      </c>
      <c r="J28" s="1">
        <v>1662</v>
      </c>
      <c r="K28" s="1">
        <v>97</v>
      </c>
      <c r="L28" s="1">
        <v>0</v>
      </c>
      <c r="M28" s="1">
        <v>0</v>
      </c>
      <c r="N28" s="1">
        <v>2</v>
      </c>
      <c r="O28" s="1">
        <v>108</v>
      </c>
      <c r="P28" s="1">
        <v>0</v>
      </c>
      <c r="Q28" s="1">
        <v>2</v>
      </c>
      <c r="R28" s="1">
        <v>51</v>
      </c>
      <c r="S28" s="1">
        <v>790</v>
      </c>
      <c r="T28" s="1">
        <v>0</v>
      </c>
      <c r="U28" s="1">
        <v>1036</v>
      </c>
      <c r="V28" s="1">
        <v>0</v>
      </c>
      <c r="W28" s="1">
        <v>1626</v>
      </c>
      <c r="X28" s="1">
        <v>183</v>
      </c>
      <c r="Y28" s="1">
        <v>2434</v>
      </c>
      <c r="Z28" s="1">
        <v>18</v>
      </c>
      <c r="AA28" s="1">
        <v>1445</v>
      </c>
      <c r="AB28" s="1">
        <v>0</v>
      </c>
      <c r="AC28" s="1">
        <v>124</v>
      </c>
      <c r="AD28" s="1">
        <v>0</v>
      </c>
      <c r="AE28" s="1">
        <v>1380</v>
      </c>
      <c r="AF28" s="1">
        <v>0</v>
      </c>
      <c r="AG28" s="1">
        <v>1956</v>
      </c>
      <c r="AH28" s="1">
        <v>0</v>
      </c>
      <c r="AI28" s="1">
        <v>0</v>
      </c>
      <c r="AJ28" s="1">
        <v>397</v>
      </c>
      <c r="AK28" s="1">
        <v>357</v>
      </c>
      <c r="AL28" s="1">
        <v>0</v>
      </c>
      <c r="AM28" s="1">
        <v>2116</v>
      </c>
      <c r="AN28" s="1">
        <v>0</v>
      </c>
      <c r="AO28" s="1">
        <v>320</v>
      </c>
      <c r="AP28" s="1">
        <v>0</v>
      </c>
      <c r="AQ28" s="1">
        <v>167</v>
      </c>
      <c r="AR28" s="1">
        <v>0</v>
      </c>
      <c r="AS28" s="1">
        <v>1134</v>
      </c>
      <c r="AT28" s="1">
        <v>0</v>
      </c>
      <c r="AU28" s="1">
        <v>6353</v>
      </c>
      <c r="AV28" s="1">
        <v>0</v>
      </c>
      <c r="AW28" s="1">
        <v>3876</v>
      </c>
      <c r="AX28" s="1">
        <v>0</v>
      </c>
      <c r="AY28" s="1">
        <v>448</v>
      </c>
      <c r="AZ28" s="1">
        <v>0</v>
      </c>
      <c r="BA28" s="1">
        <v>0</v>
      </c>
    </row>
    <row r="29" spans="1:53">
      <c r="A29" s="19">
        <v>8002</v>
      </c>
      <c r="B29" s="1">
        <v>2024</v>
      </c>
      <c r="C29" s="1">
        <v>17495</v>
      </c>
      <c r="D29" s="1">
        <v>0</v>
      </c>
      <c r="E29" s="1">
        <v>0</v>
      </c>
      <c r="F29" s="1">
        <v>57</v>
      </c>
      <c r="G29" s="1">
        <v>35</v>
      </c>
      <c r="H29" s="1">
        <v>406</v>
      </c>
      <c r="I29" s="1">
        <v>299</v>
      </c>
      <c r="J29" s="1">
        <v>580</v>
      </c>
      <c r="K29" s="1">
        <v>197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1</v>
      </c>
      <c r="R29" s="1">
        <v>0</v>
      </c>
      <c r="S29" s="1">
        <v>0</v>
      </c>
      <c r="T29" s="1">
        <v>0</v>
      </c>
      <c r="U29" s="1">
        <v>102</v>
      </c>
      <c r="V29" s="1">
        <v>0</v>
      </c>
      <c r="W29" s="1">
        <v>842</v>
      </c>
      <c r="X29" s="1">
        <v>0</v>
      </c>
      <c r="Y29" s="1">
        <v>366</v>
      </c>
      <c r="Z29" s="1">
        <v>0</v>
      </c>
      <c r="AA29" s="1">
        <v>313</v>
      </c>
      <c r="AB29" s="1">
        <v>0</v>
      </c>
      <c r="AC29" s="1">
        <v>45</v>
      </c>
      <c r="AD29" s="1">
        <v>0</v>
      </c>
      <c r="AE29" s="1">
        <v>162</v>
      </c>
      <c r="AF29" s="1">
        <v>0</v>
      </c>
      <c r="AG29" s="1">
        <v>375</v>
      </c>
      <c r="AH29" s="1">
        <v>0</v>
      </c>
      <c r="AI29" s="1">
        <v>168</v>
      </c>
      <c r="AJ29" s="1">
        <v>0</v>
      </c>
      <c r="AK29" s="1">
        <v>470</v>
      </c>
      <c r="AL29" s="1">
        <v>0</v>
      </c>
      <c r="AM29" s="1">
        <v>3491</v>
      </c>
      <c r="AN29" s="1">
        <v>0</v>
      </c>
      <c r="AO29" s="1">
        <v>2143</v>
      </c>
      <c r="AP29" s="1">
        <v>0</v>
      </c>
      <c r="AQ29" s="1">
        <v>1199</v>
      </c>
      <c r="AR29" s="1">
        <v>0</v>
      </c>
      <c r="AS29" s="1">
        <v>1541</v>
      </c>
      <c r="AT29" s="1">
        <v>0</v>
      </c>
      <c r="AU29" s="1">
        <v>3051</v>
      </c>
      <c r="AV29" s="1">
        <v>0</v>
      </c>
      <c r="AW29" s="1">
        <v>939</v>
      </c>
      <c r="AX29" s="1">
        <v>0</v>
      </c>
      <c r="AY29" s="1">
        <v>713</v>
      </c>
      <c r="AZ29" s="1">
        <v>0</v>
      </c>
      <c r="BA29" s="1">
        <v>0</v>
      </c>
    </row>
    <row r="30" spans="1:53">
      <c r="A30" s="19">
        <v>8003</v>
      </c>
      <c r="B30" s="1">
        <v>2024</v>
      </c>
      <c r="C30" s="1">
        <v>16144</v>
      </c>
      <c r="D30" s="1">
        <v>0</v>
      </c>
      <c r="E30" s="1">
        <v>0</v>
      </c>
      <c r="F30" s="1">
        <v>57</v>
      </c>
      <c r="G30" s="1">
        <v>83</v>
      </c>
      <c r="H30" s="1">
        <v>77</v>
      </c>
      <c r="I30" s="1">
        <v>908</v>
      </c>
      <c r="J30" s="1">
        <v>135</v>
      </c>
      <c r="K30" s="1">
        <v>20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422</v>
      </c>
      <c r="R30" s="1">
        <v>0</v>
      </c>
      <c r="S30" s="1">
        <v>772</v>
      </c>
      <c r="T30" s="1">
        <v>0</v>
      </c>
      <c r="U30" s="1">
        <v>0</v>
      </c>
      <c r="V30" s="1">
        <v>0</v>
      </c>
      <c r="W30" s="1">
        <v>107</v>
      </c>
      <c r="X30" s="1">
        <v>0</v>
      </c>
      <c r="Y30" s="1">
        <v>629</v>
      </c>
      <c r="Z30" s="1">
        <v>0</v>
      </c>
      <c r="AA30" s="1">
        <v>289</v>
      </c>
      <c r="AB30" s="1">
        <v>2</v>
      </c>
      <c r="AC30" s="1">
        <v>0</v>
      </c>
      <c r="AD30" s="1">
        <v>0</v>
      </c>
      <c r="AE30" s="1">
        <v>388</v>
      </c>
      <c r="AF30" s="1">
        <v>91</v>
      </c>
      <c r="AG30" s="1">
        <v>1282</v>
      </c>
      <c r="AH30" s="1">
        <v>0</v>
      </c>
      <c r="AI30" s="1">
        <v>380</v>
      </c>
      <c r="AJ30" s="1">
        <v>0</v>
      </c>
      <c r="AK30" s="1">
        <v>1199</v>
      </c>
      <c r="AL30" s="1">
        <v>0</v>
      </c>
      <c r="AM30" s="1">
        <v>1802</v>
      </c>
      <c r="AN30" s="1">
        <v>0</v>
      </c>
      <c r="AO30" s="1">
        <v>201</v>
      </c>
      <c r="AP30" s="1">
        <v>0</v>
      </c>
      <c r="AQ30" s="1">
        <v>382</v>
      </c>
      <c r="AR30" s="1">
        <v>0</v>
      </c>
      <c r="AS30" s="1">
        <v>906</v>
      </c>
      <c r="AT30" s="1">
        <v>0</v>
      </c>
      <c r="AU30" s="1">
        <v>3827</v>
      </c>
      <c r="AV30" s="1">
        <v>0</v>
      </c>
      <c r="AW30" s="1">
        <v>1481</v>
      </c>
      <c r="AX30" s="1">
        <v>0</v>
      </c>
      <c r="AY30" s="1">
        <v>704</v>
      </c>
      <c r="AZ30" s="1">
        <v>0</v>
      </c>
      <c r="BA30" s="1">
        <v>0</v>
      </c>
    </row>
    <row r="31" spans="1:53">
      <c r="A31" s="19">
        <v>8004</v>
      </c>
      <c r="B31" s="1">
        <v>2024</v>
      </c>
      <c r="C31" s="1">
        <v>18634</v>
      </c>
      <c r="D31" s="1">
        <v>0</v>
      </c>
      <c r="E31" s="1">
        <v>0</v>
      </c>
      <c r="F31" s="1">
        <v>27</v>
      </c>
      <c r="G31" s="1">
        <v>214</v>
      </c>
      <c r="H31" s="1">
        <v>218</v>
      </c>
      <c r="I31" s="1">
        <v>989</v>
      </c>
      <c r="J31" s="1">
        <v>249</v>
      </c>
      <c r="K31" s="1">
        <v>137</v>
      </c>
      <c r="L31" s="1">
        <v>86</v>
      </c>
      <c r="M31" s="1">
        <v>194</v>
      </c>
      <c r="N31" s="1">
        <v>0</v>
      </c>
      <c r="O31" s="1">
        <v>174</v>
      </c>
      <c r="P31" s="1">
        <v>135</v>
      </c>
      <c r="Q31" s="1">
        <v>89</v>
      </c>
      <c r="R31" s="1">
        <v>5</v>
      </c>
      <c r="S31" s="1">
        <v>87</v>
      </c>
      <c r="T31" s="1">
        <v>0</v>
      </c>
      <c r="U31" s="1">
        <v>13</v>
      </c>
      <c r="V31" s="1">
        <v>0</v>
      </c>
      <c r="W31" s="1">
        <v>91</v>
      </c>
      <c r="X31" s="1">
        <v>82</v>
      </c>
      <c r="Y31" s="1">
        <v>462</v>
      </c>
      <c r="Z31" s="1">
        <v>0</v>
      </c>
      <c r="AA31" s="1">
        <v>0</v>
      </c>
      <c r="AB31" s="1">
        <v>80</v>
      </c>
      <c r="AC31" s="1">
        <v>6</v>
      </c>
      <c r="AD31" s="1">
        <v>21</v>
      </c>
      <c r="AE31" s="1">
        <v>345</v>
      </c>
      <c r="AF31" s="1">
        <v>61</v>
      </c>
      <c r="AG31" s="1">
        <v>1001</v>
      </c>
      <c r="AH31" s="1">
        <v>0</v>
      </c>
      <c r="AI31" s="1">
        <v>31</v>
      </c>
      <c r="AJ31" s="1">
        <v>0</v>
      </c>
      <c r="AK31" s="1">
        <v>247</v>
      </c>
      <c r="AL31" s="1">
        <v>92</v>
      </c>
      <c r="AM31" s="1">
        <v>1395</v>
      </c>
      <c r="AN31" s="1">
        <v>0</v>
      </c>
      <c r="AO31" s="1">
        <v>155</v>
      </c>
      <c r="AP31" s="1">
        <v>0</v>
      </c>
      <c r="AQ31" s="1">
        <v>489</v>
      </c>
      <c r="AR31" s="1">
        <v>0</v>
      </c>
      <c r="AS31" s="1">
        <v>1120</v>
      </c>
      <c r="AT31" s="1">
        <v>154</v>
      </c>
      <c r="AU31" s="1">
        <v>7510</v>
      </c>
      <c r="AV31" s="1">
        <v>0</v>
      </c>
      <c r="AW31" s="1">
        <v>639</v>
      </c>
      <c r="AX31" s="1">
        <v>9</v>
      </c>
      <c r="AY31" s="1">
        <v>1786</v>
      </c>
      <c r="AZ31" s="1">
        <v>0</v>
      </c>
      <c r="BA31" s="1">
        <v>241</v>
      </c>
    </row>
    <row r="32" spans="1:53">
      <c r="A32" s="19">
        <v>9003</v>
      </c>
      <c r="B32" s="1">
        <v>2024</v>
      </c>
      <c r="C32" s="1">
        <v>18976</v>
      </c>
      <c r="D32" s="1">
        <v>0</v>
      </c>
      <c r="E32" s="1">
        <v>0</v>
      </c>
      <c r="F32" s="1">
        <v>0</v>
      </c>
      <c r="G32" s="1">
        <v>147</v>
      </c>
      <c r="H32" s="1">
        <v>1260</v>
      </c>
      <c r="I32" s="1">
        <v>1240</v>
      </c>
      <c r="J32" s="1">
        <v>809</v>
      </c>
      <c r="K32" s="1">
        <v>143</v>
      </c>
      <c r="L32" s="1">
        <v>0</v>
      </c>
      <c r="M32" s="1">
        <v>0</v>
      </c>
      <c r="N32" s="1">
        <v>0</v>
      </c>
      <c r="O32" s="1">
        <v>529</v>
      </c>
      <c r="P32" s="1">
        <v>0</v>
      </c>
      <c r="Q32" s="1">
        <v>690</v>
      </c>
      <c r="R32" s="1">
        <v>0</v>
      </c>
      <c r="S32" s="1">
        <v>108</v>
      </c>
      <c r="T32" s="1">
        <v>0</v>
      </c>
      <c r="U32" s="1">
        <v>924</v>
      </c>
      <c r="V32" s="1">
        <v>0</v>
      </c>
      <c r="W32" s="1">
        <v>1391</v>
      </c>
      <c r="X32" s="1">
        <v>0</v>
      </c>
      <c r="Y32" s="1">
        <v>838</v>
      </c>
      <c r="Z32" s="1">
        <v>0</v>
      </c>
      <c r="AA32" s="1">
        <v>165</v>
      </c>
      <c r="AB32" s="1">
        <v>0</v>
      </c>
      <c r="AC32" s="1">
        <v>0</v>
      </c>
      <c r="AD32" s="1">
        <v>0</v>
      </c>
      <c r="AE32" s="1">
        <v>531</v>
      </c>
      <c r="AF32" s="1">
        <v>0</v>
      </c>
      <c r="AG32" s="1">
        <v>739</v>
      </c>
      <c r="AH32" s="1">
        <v>0</v>
      </c>
      <c r="AI32" s="1">
        <v>238</v>
      </c>
      <c r="AJ32" s="1">
        <v>0</v>
      </c>
      <c r="AK32" s="1">
        <v>556</v>
      </c>
      <c r="AL32" s="1">
        <v>0</v>
      </c>
      <c r="AM32" s="1">
        <v>401</v>
      </c>
      <c r="AN32" s="1">
        <v>0</v>
      </c>
      <c r="AO32" s="1">
        <v>1089</v>
      </c>
      <c r="AP32" s="1">
        <v>0</v>
      </c>
      <c r="AQ32" s="1">
        <v>87</v>
      </c>
      <c r="AR32" s="1">
        <v>0</v>
      </c>
      <c r="AS32" s="1">
        <v>1213</v>
      </c>
      <c r="AT32" s="1">
        <v>0</v>
      </c>
      <c r="AU32" s="1">
        <v>3236</v>
      </c>
      <c r="AV32" s="1">
        <v>0</v>
      </c>
      <c r="AW32" s="1">
        <v>505</v>
      </c>
      <c r="AX32" s="1">
        <v>336</v>
      </c>
      <c r="AY32" s="1">
        <v>1587</v>
      </c>
      <c r="AZ32" s="1">
        <v>0</v>
      </c>
      <c r="BA32" s="1">
        <v>214</v>
      </c>
    </row>
    <row r="33" spans="1:103">
      <c r="A33" s="19">
        <v>9004</v>
      </c>
      <c r="B33" s="1">
        <v>2024</v>
      </c>
      <c r="C33" s="1">
        <v>25392</v>
      </c>
      <c r="D33" s="1">
        <v>0</v>
      </c>
      <c r="E33" s="1">
        <v>0</v>
      </c>
      <c r="F33" s="1">
        <v>0</v>
      </c>
      <c r="G33" s="1">
        <v>335</v>
      </c>
      <c r="H33" s="1">
        <v>582</v>
      </c>
      <c r="I33" s="1">
        <v>3423</v>
      </c>
      <c r="J33" s="1">
        <v>2198</v>
      </c>
      <c r="K33" s="1">
        <v>1564</v>
      </c>
      <c r="L33" s="1">
        <v>0</v>
      </c>
      <c r="M33" s="1">
        <v>5</v>
      </c>
      <c r="N33" s="1">
        <v>0</v>
      </c>
      <c r="O33" s="1">
        <v>0</v>
      </c>
      <c r="P33" s="1">
        <v>0</v>
      </c>
      <c r="Q33" s="1">
        <v>112</v>
      </c>
      <c r="R33" s="1">
        <v>0</v>
      </c>
      <c r="S33" s="1">
        <v>218</v>
      </c>
      <c r="T33" s="1">
        <v>0</v>
      </c>
      <c r="U33" s="1">
        <v>123</v>
      </c>
      <c r="V33" s="1">
        <v>0</v>
      </c>
      <c r="W33" s="1">
        <v>546</v>
      </c>
      <c r="X33" s="1">
        <v>97</v>
      </c>
      <c r="Y33" s="1">
        <v>1356</v>
      </c>
      <c r="Z33" s="1">
        <v>0</v>
      </c>
      <c r="AA33" s="1">
        <v>237</v>
      </c>
      <c r="AB33" s="1">
        <v>0</v>
      </c>
      <c r="AC33" s="1">
        <v>76</v>
      </c>
      <c r="AD33" s="1">
        <v>0</v>
      </c>
      <c r="AE33" s="1">
        <v>170</v>
      </c>
      <c r="AF33" s="1">
        <v>0</v>
      </c>
      <c r="AG33" s="1">
        <v>903</v>
      </c>
      <c r="AH33" s="1">
        <v>0</v>
      </c>
      <c r="AI33" s="1">
        <v>373</v>
      </c>
      <c r="AJ33" s="1">
        <v>0</v>
      </c>
      <c r="AK33" s="1">
        <v>253</v>
      </c>
      <c r="AL33" s="1">
        <v>0</v>
      </c>
      <c r="AM33" s="1">
        <v>809</v>
      </c>
      <c r="AN33" s="1">
        <v>38</v>
      </c>
      <c r="AO33" s="1">
        <v>985</v>
      </c>
      <c r="AP33" s="1">
        <v>0</v>
      </c>
      <c r="AQ33" s="1">
        <v>658</v>
      </c>
      <c r="AR33" s="1">
        <v>0</v>
      </c>
      <c r="AS33" s="1">
        <v>920</v>
      </c>
      <c r="AT33" s="1">
        <v>91</v>
      </c>
      <c r="AU33" s="1">
        <v>3699</v>
      </c>
      <c r="AV33" s="1">
        <v>7</v>
      </c>
      <c r="AW33" s="1">
        <v>2179</v>
      </c>
      <c r="AX33" s="1">
        <v>0</v>
      </c>
      <c r="AY33" s="1">
        <v>3435</v>
      </c>
      <c r="AZ33" s="1">
        <v>0</v>
      </c>
      <c r="BA33" s="1">
        <v>0</v>
      </c>
    </row>
    <row r="34" spans="1:103">
      <c r="A34" s="19">
        <v>10001</v>
      </c>
      <c r="B34" s="1">
        <v>2024</v>
      </c>
      <c r="C34" s="1">
        <v>11240</v>
      </c>
      <c r="D34" s="1">
        <v>0</v>
      </c>
      <c r="E34" s="1">
        <v>0</v>
      </c>
      <c r="F34" s="1">
        <v>12</v>
      </c>
      <c r="G34" s="1">
        <v>420</v>
      </c>
      <c r="H34" s="1">
        <v>256</v>
      </c>
      <c r="I34" s="1">
        <v>510</v>
      </c>
      <c r="J34" s="1">
        <v>1429</v>
      </c>
      <c r="K34" s="1">
        <v>18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91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381</v>
      </c>
      <c r="X34" s="1">
        <v>0</v>
      </c>
      <c r="Y34" s="1">
        <v>1062</v>
      </c>
      <c r="Z34" s="1">
        <v>18</v>
      </c>
      <c r="AA34" s="1">
        <v>200</v>
      </c>
      <c r="AB34" s="1">
        <v>0</v>
      </c>
      <c r="AC34" s="1">
        <v>0</v>
      </c>
      <c r="AD34" s="1">
        <v>0</v>
      </c>
      <c r="AE34" s="1">
        <v>57</v>
      </c>
      <c r="AF34" s="1">
        <v>0</v>
      </c>
      <c r="AG34" s="1">
        <v>449</v>
      </c>
      <c r="AH34" s="1">
        <v>0</v>
      </c>
      <c r="AI34" s="1">
        <v>86</v>
      </c>
      <c r="AJ34" s="1">
        <v>0</v>
      </c>
      <c r="AK34" s="1">
        <v>0</v>
      </c>
      <c r="AL34" s="1">
        <v>0</v>
      </c>
      <c r="AM34" s="1">
        <v>143</v>
      </c>
      <c r="AN34" s="1">
        <v>0</v>
      </c>
      <c r="AO34" s="1">
        <v>92</v>
      </c>
      <c r="AP34" s="1">
        <v>0</v>
      </c>
      <c r="AQ34" s="1">
        <v>517</v>
      </c>
      <c r="AR34" s="1">
        <v>0</v>
      </c>
      <c r="AS34" s="1">
        <v>734</v>
      </c>
      <c r="AT34" s="1">
        <v>0</v>
      </c>
      <c r="AU34" s="1">
        <v>2575</v>
      </c>
      <c r="AV34" s="1">
        <v>0</v>
      </c>
      <c r="AW34" s="1">
        <v>959</v>
      </c>
      <c r="AX34" s="1">
        <v>0</v>
      </c>
      <c r="AY34" s="1">
        <v>963</v>
      </c>
      <c r="AZ34" s="1">
        <v>0</v>
      </c>
      <c r="BA34" s="1">
        <v>268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</row>
    <row r="35" spans="1:103">
      <c r="A35" s="19">
        <v>10002</v>
      </c>
      <c r="B35" s="1">
        <v>2024</v>
      </c>
      <c r="C35" s="1">
        <v>24312</v>
      </c>
      <c r="D35" s="1">
        <v>0</v>
      </c>
      <c r="E35" s="1">
        <v>0</v>
      </c>
      <c r="F35" s="1">
        <v>566</v>
      </c>
      <c r="G35" s="1">
        <v>0</v>
      </c>
      <c r="H35" s="1">
        <v>977</v>
      </c>
      <c r="I35" s="1">
        <v>1949</v>
      </c>
      <c r="J35" s="1">
        <v>1155</v>
      </c>
      <c r="K35" s="1">
        <v>564</v>
      </c>
      <c r="L35" s="1">
        <v>0</v>
      </c>
      <c r="M35" s="1">
        <v>0</v>
      </c>
      <c r="N35" s="1">
        <v>0</v>
      </c>
      <c r="O35" s="1">
        <v>177</v>
      </c>
      <c r="P35" s="1">
        <v>28</v>
      </c>
      <c r="Q35" s="1">
        <v>94</v>
      </c>
      <c r="R35" s="1">
        <v>44</v>
      </c>
      <c r="S35" s="1">
        <v>299</v>
      </c>
      <c r="T35" s="1">
        <v>0</v>
      </c>
      <c r="U35" s="1">
        <v>305</v>
      </c>
      <c r="V35" s="1">
        <v>0</v>
      </c>
      <c r="W35" s="1">
        <v>602</v>
      </c>
      <c r="X35" s="1">
        <v>0</v>
      </c>
      <c r="Y35" s="1">
        <v>1214</v>
      </c>
      <c r="Z35" s="1">
        <v>41</v>
      </c>
      <c r="AA35" s="1">
        <v>546</v>
      </c>
      <c r="AB35" s="1">
        <v>0</v>
      </c>
      <c r="AC35" s="1">
        <v>90</v>
      </c>
      <c r="AD35" s="1">
        <v>0</v>
      </c>
      <c r="AE35" s="1">
        <v>685</v>
      </c>
      <c r="AF35" s="1">
        <v>172</v>
      </c>
      <c r="AG35" s="1">
        <v>1408</v>
      </c>
      <c r="AH35" s="1">
        <v>82</v>
      </c>
      <c r="AI35" s="1">
        <v>247</v>
      </c>
      <c r="AJ35" s="1">
        <v>24</v>
      </c>
      <c r="AK35" s="1">
        <v>1080</v>
      </c>
      <c r="AL35" s="1">
        <v>0</v>
      </c>
      <c r="AM35" s="1">
        <v>287</v>
      </c>
      <c r="AN35" s="1">
        <v>0</v>
      </c>
      <c r="AO35" s="1">
        <v>976</v>
      </c>
      <c r="AP35" s="1">
        <v>0</v>
      </c>
      <c r="AQ35" s="1">
        <v>654</v>
      </c>
      <c r="AR35" s="1">
        <v>0</v>
      </c>
      <c r="AS35" s="1">
        <v>1149</v>
      </c>
      <c r="AT35" s="1">
        <v>0</v>
      </c>
      <c r="AU35" s="1">
        <v>4968</v>
      </c>
      <c r="AV35" s="1">
        <v>0</v>
      </c>
      <c r="AW35" s="1">
        <v>924</v>
      </c>
      <c r="AX35" s="1">
        <v>0</v>
      </c>
      <c r="AY35" s="1">
        <v>2327</v>
      </c>
      <c r="AZ35" s="1">
        <v>0</v>
      </c>
      <c r="BA35" s="1">
        <v>678</v>
      </c>
    </row>
    <row r="36" spans="1:103">
      <c r="A36" s="19">
        <v>10003</v>
      </c>
      <c r="B36" s="1">
        <v>2024</v>
      </c>
      <c r="C36" s="1">
        <v>17580</v>
      </c>
      <c r="D36" s="1">
        <v>0</v>
      </c>
      <c r="E36" s="1">
        <v>0</v>
      </c>
      <c r="F36" s="1">
        <v>0</v>
      </c>
      <c r="G36" s="1">
        <v>87</v>
      </c>
      <c r="H36" s="1">
        <v>588</v>
      </c>
      <c r="I36" s="1">
        <v>1343</v>
      </c>
      <c r="J36" s="1">
        <v>317</v>
      </c>
      <c r="K36" s="1">
        <v>24</v>
      </c>
      <c r="L36" s="1">
        <v>0</v>
      </c>
      <c r="M36" s="1">
        <v>0</v>
      </c>
      <c r="N36" s="1">
        <v>52</v>
      </c>
      <c r="O36" s="1">
        <v>31</v>
      </c>
      <c r="P36" s="1">
        <v>40</v>
      </c>
      <c r="Q36" s="1">
        <v>219</v>
      </c>
      <c r="R36" s="1">
        <v>20</v>
      </c>
      <c r="S36" s="1">
        <v>81</v>
      </c>
      <c r="T36" s="1">
        <v>3</v>
      </c>
      <c r="U36" s="1">
        <v>271</v>
      </c>
      <c r="V36" s="1">
        <v>246</v>
      </c>
      <c r="W36" s="1">
        <v>370</v>
      </c>
      <c r="X36" s="1">
        <v>0</v>
      </c>
      <c r="Y36" s="1">
        <v>1104</v>
      </c>
      <c r="Z36" s="1">
        <v>0</v>
      </c>
      <c r="AA36" s="1">
        <v>275</v>
      </c>
      <c r="AB36" s="1">
        <v>0</v>
      </c>
      <c r="AC36" s="1">
        <v>320</v>
      </c>
      <c r="AD36" s="1">
        <v>50</v>
      </c>
      <c r="AE36" s="1">
        <v>671</v>
      </c>
      <c r="AF36" s="1">
        <v>100</v>
      </c>
      <c r="AG36" s="1">
        <v>512</v>
      </c>
      <c r="AH36" s="1">
        <v>0</v>
      </c>
      <c r="AI36" s="1">
        <v>0</v>
      </c>
      <c r="AJ36" s="1">
        <v>0</v>
      </c>
      <c r="AK36" s="1">
        <v>81</v>
      </c>
      <c r="AL36" s="1">
        <v>0</v>
      </c>
      <c r="AM36" s="1">
        <v>704</v>
      </c>
      <c r="AN36" s="1">
        <v>0</v>
      </c>
      <c r="AO36" s="1">
        <v>326</v>
      </c>
      <c r="AP36" s="1">
        <v>0</v>
      </c>
      <c r="AQ36" s="1">
        <v>837</v>
      </c>
      <c r="AR36" s="1">
        <v>0</v>
      </c>
      <c r="AS36" s="1">
        <v>1769</v>
      </c>
      <c r="AT36" s="1">
        <v>0</v>
      </c>
      <c r="AU36" s="1">
        <v>4475</v>
      </c>
      <c r="AV36" s="1">
        <v>0</v>
      </c>
      <c r="AW36" s="1">
        <v>1960</v>
      </c>
      <c r="AX36" s="1">
        <v>0</v>
      </c>
      <c r="AY36" s="1">
        <v>446</v>
      </c>
      <c r="AZ36" s="1">
        <v>0</v>
      </c>
      <c r="BA36" s="1">
        <v>258</v>
      </c>
    </row>
    <row r="37" spans="1:103">
      <c r="A37" s="19">
        <v>11001</v>
      </c>
      <c r="B37" s="1">
        <v>2024</v>
      </c>
      <c r="C37" s="1">
        <v>9871</v>
      </c>
      <c r="D37" s="1">
        <v>0</v>
      </c>
      <c r="E37" s="1">
        <v>0</v>
      </c>
      <c r="F37" s="1">
        <v>95</v>
      </c>
      <c r="G37" s="1">
        <v>14</v>
      </c>
      <c r="H37" s="1">
        <v>97</v>
      </c>
      <c r="I37" s="1">
        <v>506</v>
      </c>
      <c r="J37" s="1">
        <v>184</v>
      </c>
      <c r="K37" s="1">
        <v>124</v>
      </c>
      <c r="L37" s="1">
        <v>0</v>
      </c>
      <c r="M37" s="1">
        <v>117</v>
      </c>
      <c r="N37" s="1">
        <v>0</v>
      </c>
      <c r="O37" s="1">
        <v>19</v>
      </c>
      <c r="P37" s="1">
        <v>0</v>
      </c>
      <c r="Q37" s="1">
        <v>207</v>
      </c>
      <c r="R37" s="1">
        <v>0</v>
      </c>
      <c r="S37" s="1">
        <v>46</v>
      </c>
      <c r="T37" s="1">
        <v>0</v>
      </c>
      <c r="U37" s="1">
        <v>153</v>
      </c>
      <c r="V37" s="1">
        <v>0</v>
      </c>
      <c r="W37" s="1">
        <v>902</v>
      </c>
      <c r="X37" s="1">
        <v>39</v>
      </c>
      <c r="Y37" s="1">
        <v>730</v>
      </c>
      <c r="Z37" s="1">
        <v>0</v>
      </c>
      <c r="AA37" s="1">
        <v>515</v>
      </c>
      <c r="AB37" s="1">
        <v>0</v>
      </c>
      <c r="AC37" s="1">
        <v>323</v>
      </c>
      <c r="AD37" s="1">
        <v>0</v>
      </c>
      <c r="AE37" s="1">
        <v>92</v>
      </c>
      <c r="AF37" s="1">
        <v>0</v>
      </c>
      <c r="AG37" s="1">
        <v>1045</v>
      </c>
      <c r="AH37" s="1">
        <v>0</v>
      </c>
      <c r="AI37" s="1">
        <v>128</v>
      </c>
      <c r="AJ37" s="1">
        <v>0</v>
      </c>
      <c r="AK37" s="1">
        <v>320</v>
      </c>
      <c r="AL37" s="1">
        <v>0</v>
      </c>
      <c r="AM37" s="1">
        <v>595</v>
      </c>
      <c r="AN37" s="1">
        <v>0</v>
      </c>
      <c r="AO37" s="1">
        <v>213</v>
      </c>
      <c r="AP37" s="1">
        <v>0</v>
      </c>
      <c r="AQ37" s="1">
        <v>43</v>
      </c>
      <c r="AR37" s="1">
        <v>0</v>
      </c>
      <c r="AS37" s="1">
        <v>574</v>
      </c>
      <c r="AT37" s="1">
        <v>0</v>
      </c>
      <c r="AU37" s="1">
        <v>1935</v>
      </c>
      <c r="AV37" s="1">
        <v>0</v>
      </c>
      <c r="AW37" s="1">
        <v>309</v>
      </c>
      <c r="AX37" s="1">
        <v>0</v>
      </c>
      <c r="AY37" s="1">
        <v>461</v>
      </c>
      <c r="AZ37" s="1">
        <v>0</v>
      </c>
      <c r="BA37" s="1">
        <v>85</v>
      </c>
    </row>
    <row r="38" spans="1:103">
      <c r="A38" s="19">
        <v>12001</v>
      </c>
      <c r="B38" s="1">
        <v>2024</v>
      </c>
      <c r="C38" s="1">
        <v>11599</v>
      </c>
      <c r="D38" s="1">
        <v>0</v>
      </c>
      <c r="E38" s="1">
        <v>0</v>
      </c>
      <c r="F38" s="1">
        <v>0</v>
      </c>
      <c r="G38" s="1">
        <v>49</v>
      </c>
      <c r="H38" s="1">
        <v>141</v>
      </c>
      <c r="I38" s="1">
        <v>668</v>
      </c>
      <c r="J38" s="1">
        <v>139</v>
      </c>
      <c r="K38" s="1">
        <v>137</v>
      </c>
      <c r="L38" s="1">
        <v>0</v>
      </c>
      <c r="M38" s="1">
        <v>0</v>
      </c>
      <c r="N38" s="1">
        <v>0</v>
      </c>
      <c r="O38" s="1">
        <v>84</v>
      </c>
      <c r="P38" s="1">
        <v>0</v>
      </c>
      <c r="Q38" s="1">
        <v>0</v>
      </c>
      <c r="R38" s="1">
        <v>0</v>
      </c>
      <c r="S38" s="1">
        <v>8</v>
      </c>
      <c r="T38" s="1">
        <v>0</v>
      </c>
      <c r="U38" s="1">
        <v>0</v>
      </c>
      <c r="V38" s="1">
        <v>0</v>
      </c>
      <c r="W38" s="1">
        <v>442</v>
      </c>
      <c r="X38" s="1">
        <v>0</v>
      </c>
      <c r="Y38" s="1">
        <v>1018</v>
      </c>
      <c r="Z38" s="1">
        <v>0</v>
      </c>
      <c r="AA38" s="1">
        <v>287</v>
      </c>
      <c r="AB38" s="1">
        <v>0</v>
      </c>
      <c r="AC38" s="1">
        <v>0</v>
      </c>
      <c r="AD38" s="1">
        <v>0</v>
      </c>
      <c r="AE38" s="1">
        <v>207</v>
      </c>
      <c r="AF38" s="1">
        <v>0</v>
      </c>
      <c r="AG38" s="1">
        <v>700</v>
      </c>
      <c r="AH38" s="1">
        <v>0</v>
      </c>
      <c r="AI38" s="1">
        <v>0</v>
      </c>
      <c r="AJ38" s="1">
        <v>0</v>
      </c>
      <c r="AK38" s="1">
        <v>91</v>
      </c>
      <c r="AL38" s="1">
        <v>0</v>
      </c>
      <c r="AM38" s="1">
        <v>262</v>
      </c>
      <c r="AN38" s="1">
        <v>0</v>
      </c>
      <c r="AO38" s="1">
        <v>488</v>
      </c>
      <c r="AP38" s="1">
        <v>0</v>
      </c>
      <c r="AQ38" s="1">
        <v>420</v>
      </c>
      <c r="AR38" s="1">
        <v>0</v>
      </c>
      <c r="AS38" s="1">
        <v>1158</v>
      </c>
      <c r="AT38" s="1">
        <v>0</v>
      </c>
      <c r="AU38" s="1">
        <v>2896</v>
      </c>
      <c r="AV38" s="1">
        <v>0</v>
      </c>
      <c r="AW38" s="1">
        <v>1000</v>
      </c>
      <c r="AX38" s="1">
        <v>0</v>
      </c>
      <c r="AY38" s="1">
        <v>1404</v>
      </c>
      <c r="AZ38" s="1">
        <v>0</v>
      </c>
      <c r="BA38" s="1">
        <v>0</v>
      </c>
    </row>
    <row r="39" spans="1:103">
      <c r="A39" s="19">
        <v>12002</v>
      </c>
      <c r="B39" s="1">
        <v>2024</v>
      </c>
      <c r="C39" s="1">
        <v>20747</v>
      </c>
      <c r="D39" s="1">
        <v>0</v>
      </c>
      <c r="E39" s="1">
        <v>0</v>
      </c>
      <c r="F39" s="1">
        <v>0</v>
      </c>
      <c r="G39" s="1">
        <v>164</v>
      </c>
      <c r="H39" s="1">
        <v>79</v>
      </c>
      <c r="I39" s="1">
        <v>1728</v>
      </c>
      <c r="J39" s="1">
        <v>414</v>
      </c>
      <c r="K39" s="1">
        <v>292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61</v>
      </c>
      <c r="V39" s="1">
        <v>116</v>
      </c>
      <c r="W39" s="1">
        <v>170</v>
      </c>
      <c r="X39" s="1">
        <v>0</v>
      </c>
      <c r="Y39" s="1">
        <v>396</v>
      </c>
      <c r="Z39" s="1">
        <v>0</v>
      </c>
      <c r="AA39" s="1">
        <v>212</v>
      </c>
      <c r="AB39" s="1">
        <v>0</v>
      </c>
      <c r="AC39" s="1">
        <v>816</v>
      </c>
      <c r="AD39" s="1">
        <v>0</v>
      </c>
      <c r="AE39" s="1">
        <v>114</v>
      </c>
      <c r="AF39" s="1">
        <v>0</v>
      </c>
      <c r="AG39" s="1">
        <v>1006</v>
      </c>
      <c r="AH39" s="1">
        <v>0</v>
      </c>
      <c r="AI39" s="1">
        <v>332</v>
      </c>
      <c r="AJ39" s="1">
        <v>0</v>
      </c>
      <c r="AK39" s="1">
        <v>621</v>
      </c>
      <c r="AL39" s="1">
        <v>0</v>
      </c>
      <c r="AM39" s="1">
        <v>741</v>
      </c>
      <c r="AN39" s="1">
        <v>0</v>
      </c>
      <c r="AO39" s="1">
        <v>690</v>
      </c>
      <c r="AP39" s="1">
        <v>0</v>
      </c>
      <c r="AQ39" s="1">
        <v>785</v>
      </c>
      <c r="AR39" s="1">
        <v>0</v>
      </c>
      <c r="AS39" s="1">
        <v>1546</v>
      </c>
      <c r="AT39" s="1">
        <v>0</v>
      </c>
      <c r="AU39" s="1">
        <v>5287</v>
      </c>
      <c r="AV39" s="1">
        <v>0</v>
      </c>
      <c r="AW39" s="1">
        <v>2125</v>
      </c>
      <c r="AX39" s="1">
        <v>0</v>
      </c>
      <c r="AY39" s="1">
        <v>2859</v>
      </c>
      <c r="AZ39" s="1">
        <v>63</v>
      </c>
      <c r="BA39" s="1">
        <v>130</v>
      </c>
    </row>
    <row r="40" spans="1:103">
      <c r="A40" s="19">
        <v>13001</v>
      </c>
      <c r="B40" s="1">
        <v>2024</v>
      </c>
      <c r="C40" s="1">
        <v>10803</v>
      </c>
      <c r="D40" s="1">
        <v>0</v>
      </c>
      <c r="E40" s="1">
        <v>0</v>
      </c>
      <c r="F40" s="1">
        <v>17</v>
      </c>
      <c r="G40" s="1">
        <v>659</v>
      </c>
      <c r="H40" s="1">
        <v>1192</v>
      </c>
      <c r="I40" s="1">
        <v>1660</v>
      </c>
      <c r="J40" s="1">
        <v>715</v>
      </c>
      <c r="K40" s="1">
        <v>267</v>
      </c>
      <c r="L40" s="1">
        <v>0</v>
      </c>
      <c r="M40" s="1">
        <v>15</v>
      </c>
      <c r="N40" s="1">
        <v>0</v>
      </c>
      <c r="O40" s="1">
        <v>0</v>
      </c>
      <c r="P40" s="1">
        <v>0</v>
      </c>
      <c r="Q40" s="1">
        <v>14</v>
      </c>
      <c r="R40" s="1">
        <v>0</v>
      </c>
      <c r="S40" s="1">
        <v>68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91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12</v>
      </c>
      <c r="AH40" s="1">
        <v>0</v>
      </c>
      <c r="AI40" s="1">
        <v>89</v>
      </c>
      <c r="AJ40" s="1">
        <v>0</v>
      </c>
      <c r="AK40" s="1">
        <v>199</v>
      </c>
      <c r="AL40" s="1">
        <v>0</v>
      </c>
      <c r="AM40" s="1">
        <v>584</v>
      </c>
      <c r="AN40" s="1">
        <v>0</v>
      </c>
      <c r="AO40" s="1">
        <v>401</v>
      </c>
      <c r="AP40" s="1">
        <v>0</v>
      </c>
      <c r="AQ40" s="1">
        <v>759</v>
      </c>
      <c r="AR40" s="1">
        <v>0</v>
      </c>
      <c r="AS40" s="1">
        <v>591</v>
      </c>
      <c r="AT40" s="1">
        <v>0</v>
      </c>
      <c r="AU40" s="1">
        <v>1481</v>
      </c>
      <c r="AV40" s="1">
        <v>0</v>
      </c>
      <c r="AW40" s="1">
        <v>612</v>
      </c>
      <c r="AX40" s="1">
        <v>0</v>
      </c>
      <c r="AY40" s="1">
        <v>665</v>
      </c>
      <c r="AZ40" s="1">
        <v>0</v>
      </c>
      <c r="BA40" s="1">
        <v>712</v>
      </c>
    </row>
    <row r="41" spans="1:103">
      <c r="A41" s="19">
        <v>13003</v>
      </c>
      <c r="B41" s="1">
        <v>2024</v>
      </c>
      <c r="C41" s="1">
        <v>29955</v>
      </c>
      <c r="D41" s="1">
        <v>0</v>
      </c>
      <c r="E41" s="1">
        <v>0</v>
      </c>
      <c r="F41" s="1">
        <v>313</v>
      </c>
      <c r="G41" s="1">
        <v>384</v>
      </c>
      <c r="H41" s="1">
        <v>4130</v>
      </c>
      <c r="I41" s="1">
        <v>2907</v>
      </c>
      <c r="J41" s="1">
        <v>1953</v>
      </c>
      <c r="K41" s="1">
        <v>1937</v>
      </c>
      <c r="L41" s="1">
        <v>112</v>
      </c>
      <c r="M41" s="1">
        <v>24</v>
      </c>
      <c r="N41" s="1">
        <v>0</v>
      </c>
      <c r="O41" s="1">
        <v>782</v>
      </c>
      <c r="P41" s="1">
        <v>28</v>
      </c>
      <c r="Q41" s="1">
        <v>492</v>
      </c>
      <c r="R41" s="1">
        <v>96</v>
      </c>
      <c r="S41" s="1">
        <v>871</v>
      </c>
      <c r="T41" s="1">
        <v>0</v>
      </c>
      <c r="U41" s="1">
        <v>299</v>
      </c>
      <c r="V41" s="1">
        <v>1</v>
      </c>
      <c r="W41" s="1">
        <v>839</v>
      </c>
      <c r="X41" s="1">
        <v>179</v>
      </c>
      <c r="Y41" s="1">
        <v>545</v>
      </c>
      <c r="Z41" s="1">
        <v>137</v>
      </c>
      <c r="AA41" s="1">
        <v>285</v>
      </c>
      <c r="AB41" s="1">
        <v>0</v>
      </c>
      <c r="AC41" s="1">
        <v>15</v>
      </c>
      <c r="AD41" s="1">
        <v>14</v>
      </c>
      <c r="AE41" s="1">
        <v>352</v>
      </c>
      <c r="AF41" s="1">
        <v>0</v>
      </c>
      <c r="AG41" s="1">
        <v>779</v>
      </c>
      <c r="AH41" s="1">
        <v>0</v>
      </c>
      <c r="AI41" s="1">
        <v>268</v>
      </c>
      <c r="AJ41" s="1">
        <v>91</v>
      </c>
      <c r="AK41" s="1">
        <v>901</v>
      </c>
      <c r="AL41" s="1">
        <v>0</v>
      </c>
      <c r="AM41" s="1">
        <v>715</v>
      </c>
      <c r="AN41" s="1">
        <v>0</v>
      </c>
      <c r="AO41" s="1">
        <v>525</v>
      </c>
      <c r="AP41" s="1">
        <v>0</v>
      </c>
      <c r="AQ41" s="1">
        <v>1467</v>
      </c>
      <c r="AR41" s="1">
        <v>0</v>
      </c>
      <c r="AS41" s="1">
        <v>1422</v>
      </c>
      <c r="AT41" s="1">
        <v>0</v>
      </c>
      <c r="AU41" s="1">
        <v>1718</v>
      </c>
      <c r="AV41" s="1">
        <v>0</v>
      </c>
      <c r="AW41" s="1">
        <v>1069</v>
      </c>
      <c r="AX41" s="1">
        <v>0</v>
      </c>
      <c r="AY41" s="1">
        <v>2632</v>
      </c>
      <c r="AZ41" s="1">
        <v>0</v>
      </c>
      <c r="BA41" s="1">
        <v>1673</v>
      </c>
    </row>
    <row r="42" spans="1:103">
      <c r="A42" s="19">
        <v>13004</v>
      </c>
      <c r="B42" s="1">
        <v>2024</v>
      </c>
      <c r="C42" s="1">
        <v>14179</v>
      </c>
      <c r="D42" s="1">
        <v>0</v>
      </c>
      <c r="E42" s="1">
        <v>0</v>
      </c>
      <c r="F42" s="1">
        <v>0</v>
      </c>
      <c r="G42" s="1">
        <v>105</v>
      </c>
      <c r="H42" s="1">
        <v>348</v>
      </c>
      <c r="I42" s="1">
        <v>1859</v>
      </c>
      <c r="J42" s="1">
        <v>1049</v>
      </c>
      <c r="K42" s="1">
        <v>208</v>
      </c>
      <c r="L42" s="1">
        <v>0</v>
      </c>
      <c r="M42" s="1">
        <v>0</v>
      </c>
      <c r="N42" s="1">
        <v>5</v>
      </c>
      <c r="O42" s="1">
        <v>0</v>
      </c>
      <c r="P42" s="1">
        <v>0</v>
      </c>
      <c r="Q42" s="1">
        <v>71</v>
      </c>
      <c r="R42" s="1">
        <v>11</v>
      </c>
      <c r="S42" s="1">
        <v>358</v>
      </c>
      <c r="T42" s="1">
        <v>0</v>
      </c>
      <c r="U42" s="1">
        <v>56</v>
      </c>
      <c r="V42" s="1">
        <v>64</v>
      </c>
      <c r="W42" s="1">
        <v>603</v>
      </c>
      <c r="X42" s="1">
        <v>117</v>
      </c>
      <c r="Y42" s="1">
        <v>511</v>
      </c>
      <c r="Z42" s="1">
        <v>0</v>
      </c>
      <c r="AA42" s="1">
        <v>543</v>
      </c>
      <c r="AB42" s="1">
        <v>0</v>
      </c>
      <c r="AC42" s="1">
        <v>20</v>
      </c>
      <c r="AD42" s="1">
        <v>6</v>
      </c>
      <c r="AE42" s="1">
        <v>254</v>
      </c>
      <c r="AF42" s="1">
        <v>168</v>
      </c>
      <c r="AG42" s="1">
        <v>1619</v>
      </c>
      <c r="AH42" s="1">
        <v>0</v>
      </c>
      <c r="AI42" s="1">
        <v>270</v>
      </c>
      <c r="AJ42" s="1">
        <v>0</v>
      </c>
      <c r="AK42" s="1">
        <v>372</v>
      </c>
      <c r="AL42" s="1">
        <v>0</v>
      </c>
      <c r="AM42" s="1">
        <v>204</v>
      </c>
      <c r="AN42" s="1">
        <v>0</v>
      </c>
      <c r="AO42" s="1">
        <v>420</v>
      </c>
      <c r="AP42" s="1">
        <v>0</v>
      </c>
      <c r="AQ42" s="1">
        <v>83</v>
      </c>
      <c r="AR42" s="1">
        <v>0</v>
      </c>
      <c r="AS42" s="1">
        <v>382</v>
      </c>
      <c r="AT42" s="1">
        <v>0</v>
      </c>
      <c r="AU42" s="1">
        <v>2104</v>
      </c>
      <c r="AV42" s="1">
        <v>0</v>
      </c>
      <c r="AW42" s="1">
        <v>878</v>
      </c>
      <c r="AX42" s="1">
        <v>0</v>
      </c>
      <c r="AY42" s="1">
        <v>339</v>
      </c>
      <c r="AZ42" s="1">
        <v>0</v>
      </c>
      <c r="BA42" s="1">
        <v>1152</v>
      </c>
    </row>
    <row r="43" spans="1:103">
      <c r="A43" s="19">
        <v>13005</v>
      </c>
      <c r="B43" s="1">
        <v>2024</v>
      </c>
      <c r="C43" s="1">
        <v>4655</v>
      </c>
      <c r="D43" s="1">
        <v>0</v>
      </c>
      <c r="E43" s="1">
        <v>93</v>
      </c>
      <c r="F43" s="1">
        <v>0</v>
      </c>
      <c r="G43" s="1">
        <v>202</v>
      </c>
      <c r="H43" s="1">
        <v>897</v>
      </c>
      <c r="I43" s="1">
        <v>669</v>
      </c>
      <c r="J43" s="1">
        <v>1408</v>
      </c>
      <c r="K43" s="1">
        <v>584</v>
      </c>
      <c r="L43" s="1">
        <v>0</v>
      </c>
      <c r="M43" s="1">
        <v>0</v>
      </c>
      <c r="N43" s="1">
        <v>0</v>
      </c>
      <c r="O43" s="1">
        <v>314</v>
      </c>
      <c r="P43" s="1">
        <v>0</v>
      </c>
      <c r="Q43" s="1">
        <v>2</v>
      </c>
      <c r="R43" s="1">
        <v>0</v>
      </c>
      <c r="S43" s="1">
        <v>292</v>
      </c>
      <c r="T43" s="1">
        <v>0</v>
      </c>
      <c r="U43" s="1">
        <v>0</v>
      </c>
      <c r="V43" s="1">
        <v>0</v>
      </c>
      <c r="W43" s="1">
        <v>50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4</v>
      </c>
      <c r="AH43" s="1">
        <v>0</v>
      </c>
      <c r="AI43" s="1">
        <v>0</v>
      </c>
      <c r="AJ43" s="1">
        <v>0</v>
      </c>
      <c r="AK43" s="1">
        <v>81</v>
      </c>
      <c r="AL43" s="1">
        <v>0</v>
      </c>
      <c r="AM43" s="1">
        <v>0</v>
      </c>
      <c r="AN43" s="1">
        <v>0</v>
      </c>
      <c r="AO43" s="1">
        <v>3</v>
      </c>
      <c r="AP43" s="1">
        <v>0</v>
      </c>
      <c r="AQ43" s="1">
        <v>0</v>
      </c>
      <c r="AR43" s="1">
        <v>0</v>
      </c>
      <c r="AS43" s="1">
        <v>11</v>
      </c>
      <c r="AT43" s="1">
        <v>0</v>
      </c>
      <c r="AU43" s="1">
        <v>0</v>
      </c>
      <c r="AV43" s="1">
        <v>0</v>
      </c>
      <c r="AW43" s="1">
        <v>43</v>
      </c>
      <c r="AX43" s="1">
        <v>0</v>
      </c>
      <c r="AY43" s="1">
        <v>2</v>
      </c>
      <c r="AZ43" s="1">
        <v>0</v>
      </c>
      <c r="BA43" s="1">
        <v>0</v>
      </c>
    </row>
    <row r="44" spans="1:103">
      <c r="A44" s="19">
        <v>14001</v>
      </c>
      <c r="B44" s="1">
        <v>2024</v>
      </c>
      <c r="C44" s="1">
        <v>15226</v>
      </c>
      <c r="D44" s="1">
        <v>0</v>
      </c>
      <c r="E44" s="1">
        <v>0</v>
      </c>
      <c r="F44" s="1">
        <v>0</v>
      </c>
      <c r="G44" s="1">
        <v>140</v>
      </c>
      <c r="H44" s="1">
        <v>130</v>
      </c>
      <c r="I44" s="1">
        <v>218</v>
      </c>
      <c r="J44" s="1">
        <v>120</v>
      </c>
      <c r="K44" s="1">
        <v>46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856</v>
      </c>
      <c r="V44" s="1">
        <v>90</v>
      </c>
      <c r="W44" s="1">
        <v>730</v>
      </c>
      <c r="X44" s="1">
        <v>0</v>
      </c>
      <c r="Y44" s="1">
        <v>491</v>
      </c>
      <c r="Z44" s="1">
        <v>0</v>
      </c>
      <c r="AA44" s="1">
        <v>83</v>
      </c>
      <c r="AB44" s="1">
        <v>0</v>
      </c>
      <c r="AC44" s="1">
        <v>5</v>
      </c>
      <c r="AD44" s="1">
        <v>0</v>
      </c>
      <c r="AE44" s="1">
        <v>370</v>
      </c>
      <c r="AF44" s="1">
        <v>0</v>
      </c>
      <c r="AG44" s="1">
        <v>436</v>
      </c>
      <c r="AH44" s="1">
        <v>0</v>
      </c>
      <c r="AI44" s="1">
        <v>371</v>
      </c>
      <c r="AJ44" s="1">
        <v>61</v>
      </c>
      <c r="AK44" s="1">
        <v>366</v>
      </c>
      <c r="AL44" s="1">
        <v>0</v>
      </c>
      <c r="AM44" s="1">
        <v>1321</v>
      </c>
      <c r="AN44" s="1">
        <v>0</v>
      </c>
      <c r="AO44" s="1">
        <v>1080</v>
      </c>
      <c r="AP44" s="1">
        <v>0</v>
      </c>
      <c r="AQ44" s="1">
        <v>711</v>
      </c>
      <c r="AR44" s="1">
        <v>0</v>
      </c>
      <c r="AS44" s="1">
        <v>1680</v>
      </c>
      <c r="AT44" s="1">
        <v>0</v>
      </c>
      <c r="AU44" s="1">
        <v>2044</v>
      </c>
      <c r="AV44" s="1">
        <v>0</v>
      </c>
      <c r="AW44" s="1">
        <v>1550</v>
      </c>
      <c r="AX44" s="1">
        <v>0</v>
      </c>
      <c r="AY44" s="1">
        <v>2327</v>
      </c>
      <c r="AZ44" s="1">
        <v>0</v>
      </c>
      <c r="BA44" s="1">
        <v>0</v>
      </c>
    </row>
    <row r="45" spans="1:103">
      <c r="A45" s="19">
        <v>14002</v>
      </c>
      <c r="B45" s="1">
        <v>2024</v>
      </c>
      <c r="C45" s="1">
        <v>11016</v>
      </c>
      <c r="D45" s="1">
        <v>0</v>
      </c>
      <c r="E45" s="1">
        <v>0</v>
      </c>
      <c r="F45" s="1">
        <v>13</v>
      </c>
      <c r="G45" s="1">
        <v>0</v>
      </c>
      <c r="H45" s="1">
        <v>144</v>
      </c>
      <c r="I45" s="1">
        <v>520</v>
      </c>
      <c r="J45" s="1">
        <v>109</v>
      </c>
      <c r="K45" s="1">
        <v>77</v>
      </c>
      <c r="L45" s="1">
        <v>0</v>
      </c>
      <c r="M45" s="1">
        <v>65</v>
      </c>
      <c r="N45" s="1">
        <v>0</v>
      </c>
      <c r="O45" s="1">
        <v>126</v>
      </c>
      <c r="P45" s="1">
        <v>0</v>
      </c>
      <c r="Q45" s="1">
        <v>164</v>
      </c>
      <c r="R45" s="1">
        <v>0</v>
      </c>
      <c r="S45" s="1">
        <v>0</v>
      </c>
      <c r="T45" s="1">
        <v>0</v>
      </c>
      <c r="U45" s="1">
        <v>14</v>
      </c>
      <c r="V45" s="1">
        <v>0</v>
      </c>
      <c r="W45" s="1">
        <v>429</v>
      </c>
      <c r="X45" s="1">
        <v>0</v>
      </c>
      <c r="Y45" s="1">
        <v>236</v>
      </c>
      <c r="Z45" s="1">
        <v>0</v>
      </c>
      <c r="AA45" s="1">
        <v>130</v>
      </c>
      <c r="AB45" s="1">
        <v>0</v>
      </c>
      <c r="AC45" s="1">
        <v>0</v>
      </c>
      <c r="AD45" s="1">
        <v>0</v>
      </c>
      <c r="AE45" s="1">
        <v>82</v>
      </c>
      <c r="AF45" s="1">
        <v>0</v>
      </c>
      <c r="AG45" s="1">
        <v>1189</v>
      </c>
      <c r="AH45" s="1">
        <v>0</v>
      </c>
      <c r="AI45" s="1">
        <v>92</v>
      </c>
      <c r="AJ45" s="1">
        <v>0</v>
      </c>
      <c r="AK45" s="1">
        <v>296</v>
      </c>
      <c r="AL45" s="1">
        <v>0</v>
      </c>
      <c r="AM45" s="1">
        <v>229</v>
      </c>
      <c r="AN45" s="1">
        <v>0</v>
      </c>
      <c r="AO45" s="1">
        <v>789</v>
      </c>
      <c r="AP45" s="1">
        <v>0</v>
      </c>
      <c r="AQ45" s="1">
        <v>38</v>
      </c>
      <c r="AR45" s="1">
        <v>0</v>
      </c>
      <c r="AS45" s="1">
        <v>1256</v>
      </c>
      <c r="AT45" s="1">
        <v>0</v>
      </c>
      <c r="AU45" s="1">
        <v>3746</v>
      </c>
      <c r="AV45" s="1">
        <v>0</v>
      </c>
      <c r="AW45" s="1">
        <v>718</v>
      </c>
      <c r="AX45" s="1">
        <v>0</v>
      </c>
      <c r="AY45" s="1">
        <v>554</v>
      </c>
      <c r="AZ45" s="1">
        <v>0</v>
      </c>
      <c r="BA45" s="1">
        <v>0</v>
      </c>
    </row>
    <row r="46" spans="1:103">
      <c r="A46" s="19">
        <v>14004</v>
      </c>
      <c r="B46" s="1">
        <v>2024</v>
      </c>
      <c r="C46" s="1">
        <v>43213</v>
      </c>
      <c r="D46" s="1">
        <v>0</v>
      </c>
      <c r="E46" s="1">
        <v>0</v>
      </c>
      <c r="F46" s="1">
        <v>313</v>
      </c>
      <c r="G46" s="1">
        <v>831</v>
      </c>
      <c r="H46" s="1">
        <v>2162</v>
      </c>
      <c r="I46" s="1">
        <v>3983</v>
      </c>
      <c r="J46" s="1">
        <v>180</v>
      </c>
      <c r="K46" s="1">
        <v>226</v>
      </c>
      <c r="L46" s="1">
        <v>0</v>
      </c>
      <c r="M46" s="1">
        <v>0</v>
      </c>
      <c r="N46" s="1">
        <v>91</v>
      </c>
      <c r="O46" s="1">
        <v>389</v>
      </c>
      <c r="P46" s="1">
        <v>0</v>
      </c>
      <c r="Q46" s="1">
        <v>567</v>
      </c>
      <c r="R46" s="1">
        <v>0</v>
      </c>
      <c r="S46" s="1">
        <v>207</v>
      </c>
      <c r="T46" s="1">
        <v>0</v>
      </c>
      <c r="U46" s="1">
        <v>877</v>
      </c>
      <c r="V46" s="1">
        <v>0</v>
      </c>
      <c r="W46" s="1">
        <v>1905</v>
      </c>
      <c r="X46" s="1">
        <v>0</v>
      </c>
      <c r="Y46" s="1">
        <v>4566</v>
      </c>
      <c r="Z46" s="1">
        <v>0</v>
      </c>
      <c r="AA46" s="1">
        <v>498</v>
      </c>
      <c r="AB46" s="1">
        <v>0</v>
      </c>
      <c r="AC46" s="1">
        <v>292</v>
      </c>
      <c r="AD46" s="1">
        <v>92</v>
      </c>
      <c r="AE46" s="1">
        <v>1146</v>
      </c>
      <c r="AF46" s="1">
        <v>0</v>
      </c>
      <c r="AG46" s="1">
        <v>2078</v>
      </c>
      <c r="AH46" s="1">
        <v>0</v>
      </c>
      <c r="AI46" s="1">
        <v>150</v>
      </c>
      <c r="AJ46" s="1">
        <v>0</v>
      </c>
      <c r="AK46" s="1">
        <v>244</v>
      </c>
      <c r="AL46" s="1">
        <v>0</v>
      </c>
      <c r="AM46" s="1">
        <v>893</v>
      </c>
      <c r="AN46" s="1">
        <v>0</v>
      </c>
      <c r="AO46" s="1">
        <v>47</v>
      </c>
      <c r="AP46" s="1">
        <v>0</v>
      </c>
      <c r="AQ46" s="1">
        <v>2249</v>
      </c>
      <c r="AR46" s="1">
        <v>0</v>
      </c>
      <c r="AS46" s="1">
        <v>3750</v>
      </c>
      <c r="AT46" s="1">
        <v>0</v>
      </c>
      <c r="AU46" s="1">
        <v>13604</v>
      </c>
      <c r="AV46" s="1">
        <v>0</v>
      </c>
      <c r="AW46" s="1">
        <v>1559</v>
      </c>
      <c r="AX46" s="1">
        <v>0</v>
      </c>
      <c r="AY46" s="1">
        <v>314</v>
      </c>
      <c r="AZ46" s="1">
        <v>0</v>
      </c>
      <c r="BA46" s="1">
        <v>0</v>
      </c>
    </row>
    <row r="47" spans="1:103">
      <c r="A47" s="19">
        <v>15002</v>
      </c>
      <c r="B47" s="1">
        <v>2024</v>
      </c>
      <c r="C47" s="1">
        <v>16137</v>
      </c>
      <c r="D47" s="1">
        <v>0</v>
      </c>
      <c r="E47" s="1">
        <v>146</v>
      </c>
      <c r="F47" s="1">
        <v>0</v>
      </c>
      <c r="G47" s="1">
        <v>0</v>
      </c>
      <c r="H47" s="1">
        <v>181</v>
      </c>
      <c r="I47" s="1">
        <v>847</v>
      </c>
      <c r="J47" s="1">
        <v>348</v>
      </c>
      <c r="K47" s="1">
        <v>47</v>
      </c>
      <c r="L47" s="1">
        <v>0</v>
      </c>
      <c r="M47" s="1">
        <v>274</v>
      </c>
      <c r="N47" s="1">
        <v>0</v>
      </c>
      <c r="O47" s="1">
        <v>92</v>
      </c>
      <c r="P47" s="1">
        <v>62</v>
      </c>
      <c r="Q47" s="1">
        <v>329</v>
      </c>
      <c r="R47" s="1">
        <v>0</v>
      </c>
      <c r="S47" s="1">
        <v>0</v>
      </c>
      <c r="T47" s="1">
        <v>0</v>
      </c>
      <c r="U47" s="1">
        <v>275</v>
      </c>
      <c r="V47" s="1">
        <v>148</v>
      </c>
      <c r="W47" s="1">
        <v>436</v>
      </c>
      <c r="X47" s="1">
        <v>0</v>
      </c>
      <c r="Y47" s="1">
        <v>414</v>
      </c>
      <c r="Z47" s="1">
        <v>0</v>
      </c>
      <c r="AA47" s="1">
        <v>30</v>
      </c>
      <c r="AB47" s="1">
        <v>0</v>
      </c>
      <c r="AC47" s="1">
        <v>72</v>
      </c>
      <c r="AD47" s="1">
        <v>0</v>
      </c>
      <c r="AE47" s="1">
        <v>83</v>
      </c>
      <c r="AF47" s="1">
        <v>82</v>
      </c>
      <c r="AG47" s="1">
        <v>1459</v>
      </c>
      <c r="AH47" s="1">
        <v>0</v>
      </c>
      <c r="AI47" s="1">
        <v>114</v>
      </c>
      <c r="AJ47" s="1">
        <v>216</v>
      </c>
      <c r="AK47" s="1">
        <v>545</v>
      </c>
      <c r="AL47" s="1">
        <v>0</v>
      </c>
      <c r="AM47" s="1">
        <v>597</v>
      </c>
      <c r="AN47" s="1">
        <v>0</v>
      </c>
      <c r="AO47" s="1">
        <v>2370</v>
      </c>
      <c r="AP47" s="1">
        <v>0</v>
      </c>
      <c r="AQ47" s="1">
        <v>114</v>
      </c>
      <c r="AR47" s="1">
        <v>0</v>
      </c>
      <c r="AS47" s="1">
        <v>720</v>
      </c>
      <c r="AT47" s="1">
        <v>0</v>
      </c>
      <c r="AU47" s="1">
        <v>3396</v>
      </c>
      <c r="AV47" s="1">
        <v>0</v>
      </c>
      <c r="AW47" s="1">
        <v>2059</v>
      </c>
      <c r="AX47" s="1">
        <v>0</v>
      </c>
      <c r="AY47" s="1">
        <v>681</v>
      </c>
      <c r="AZ47" s="1">
        <v>0</v>
      </c>
      <c r="BA47" s="1">
        <v>0</v>
      </c>
    </row>
    <row r="48" spans="1:103">
      <c r="A48" s="19">
        <v>16001</v>
      </c>
      <c r="B48" s="1">
        <v>2024</v>
      </c>
      <c r="C48" s="1">
        <v>9867</v>
      </c>
      <c r="D48" s="1">
        <v>0</v>
      </c>
      <c r="E48" s="1">
        <v>0</v>
      </c>
      <c r="F48" s="1">
        <v>3</v>
      </c>
      <c r="G48" s="1">
        <v>0</v>
      </c>
      <c r="H48" s="1">
        <v>0</v>
      </c>
      <c r="I48" s="1">
        <v>117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90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165</v>
      </c>
      <c r="X48" s="1">
        <v>30</v>
      </c>
      <c r="Y48" s="1">
        <v>551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26</v>
      </c>
      <c r="AF48" s="1">
        <v>0</v>
      </c>
      <c r="AG48" s="1">
        <v>294</v>
      </c>
      <c r="AH48" s="1">
        <v>0</v>
      </c>
      <c r="AI48" s="1">
        <v>92</v>
      </c>
      <c r="AJ48" s="1">
        <v>0</v>
      </c>
      <c r="AK48" s="1">
        <v>88</v>
      </c>
      <c r="AL48" s="1">
        <v>0</v>
      </c>
      <c r="AM48" s="1">
        <v>676</v>
      </c>
      <c r="AN48" s="1">
        <v>0</v>
      </c>
      <c r="AO48" s="1">
        <v>1005</v>
      </c>
      <c r="AP48" s="1">
        <v>0</v>
      </c>
      <c r="AQ48" s="1">
        <v>0</v>
      </c>
      <c r="AR48" s="1">
        <v>0</v>
      </c>
      <c r="AS48" s="1">
        <v>1338</v>
      </c>
      <c r="AT48" s="1">
        <v>0</v>
      </c>
      <c r="AU48" s="1">
        <v>2135</v>
      </c>
      <c r="AV48" s="1">
        <v>0</v>
      </c>
      <c r="AW48" s="1">
        <v>883</v>
      </c>
      <c r="AX48" s="1">
        <v>0</v>
      </c>
      <c r="AY48" s="1">
        <v>2374</v>
      </c>
      <c r="AZ48" s="1">
        <v>0</v>
      </c>
      <c r="BA48" s="1">
        <v>0</v>
      </c>
    </row>
    <row r="49" spans="1:53">
      <c r="A49" s="19">
        <v>17001</v>
      </c>
      <c r="B49" s="1">
        <v>2024</v>
      </c>
      <c r="C49" s="1">
        <v>16389</v>
      </c>
      <c r="D49" s="1">
        <v>0</v>
      </c>
      <c r="E49" s="1">
        <v>0</v>
      </c>
      <c r="F49" s="1">
        <v>87</v>
      </c>
      <c r="G49" s="1">
        <v>5</v>
      </c>
      <c r="H49" s="1">
        <v>204</v>
      </c>
      <c r="I49" s="1">
        <v>298</v>
      </c>
      <c r="J49" s="1">
        <v>470</v>
      </c>
      <c r="K49" s="1">
        <v>6</v>
      </c>
      <c r="L49" s="1">
        <v>0</v>
      </c>
      <c r="M49" s="1">
        <v>0</v>
      </c>
      <c r="N49" s="1">
        <v>0</v>
      </c>
      <c r="O49" s="1">
        <v>39</v>
      </c>
      <c r="P49" s="1">
        <v>0</v>
      </c>
      <c r="Q49" s="1">
        <v>152</v>
      </c>
      <c r="R49" s="1">
        <v>86</v>
      </c>
      <c r="S49" s="1">
        <v>178</v>
      </c>
      <c r="T49" s="1">
        <v>0</v>
      </c>
      <c r="U49" s="1">
        <v>16</v>
      </c>
      <c r="V49" s="1">
        <v>0</v>
      </c>
      <c r="W49" s="1">
        <v>40</v>
      </c>
      <c r="X49" s="1">
        <v>0</v>
      </c>
      <c r="Y49" s="1">
        <v>1090</v>
      </c>
      <c r="Z49" s="1">
        <v>200</v>
      </c>
      <c r="AA49" s="1">
        <v>537</v>
      </c>
      <c r="AB49" s="1">
        <v>0</v>
      </c>
      <c r="AC49" s="1">
        <v>127</v>
      </c>
      <c r="AD49" s="1">
        <v>0</v>
      </c>
      <c r="AE49" s="1">
        <v>824</v>
      </c>
      <c r="AF49" s="1">
        <v>0</v>
      </c>
      <c r="AG49" s="1">
        <v>616</v>
      </c>
      <c r="AH49" s="1">
        <v>0</v>
      </c>
      <c r="AI49" s="1">
        <v>229</v>
      </c>
      <c r="AJ49" s="1">
        <v>30</v>
      </c>
      <c r="AK49" s="1">
        <v>757</v>
      </c>
      <c r="AL49" s="1">
        <v>0</v>
      </c>
      <c r="AM49" s="1">
        <v>1336</v>
      </c>
      <c r="AN49" s="1">
        <v>0</v>
      </c>
      <c r="AO49" s="1">
        <v>1135</v>
      </c>
      <c r="AP49" s="1">
        <v>0</v>
      </c>
      <c r="AQ49" s="1">
        <v>683</v>
      </c>
      <c r="AR49" s="1">
        <v>0</v>
      </c>
      <c r="AS49" s="1">
        <v>678</v>
      </c>
      <c r="AT49" s="1">
        <v>0</v>
      </c>
      <c r="AU49" s="1">
        <v>2967</v>
      </c>
      <c r="AV49" s="1">
        <v>0</v>
      </c>
      <c r="AW49" s="1">
        <v>1196</v>
      </c>
      <c r="AX49" s="1">
        <v>0</v>
      </c>
      <c r="AY49" s="1">
        <v>2403</v>
      </c>
      <c r="AZ49" s="1">
        <v>0</v>
      </c>
      <c r="BA49" s="1">
        <v>0</v>
      </c>
    </row>
    <row r="50" spans="1:53">
      <c r="A50" s="19">
        <v>17003</v>
      </c>
      <c r="B50" s="1">
        <v>2024</v>
      </c>
      <c r="C50" s="1">
        <v>10366</v>
      </c>
      <c r="D50" s="1">
        <v>0</v>
      </c>
      <c r="E50" s="1">
        <v>0</v>
      </c>
      <c r="F50" s="1">
        <v>312</v>
      </c>
      <c r="G50" s="1">
        <v>0</v>
      </c>
      <c r="H50" s="1">
        <v>204</v>
      </c>
      <c r="I50" s="1">
        <v>256</v>
      </c>
      <c r="J50" s="1">
        <v>207</v>
      </c>
      <c r="K50" s="1">
        <v>0</v>
      </c>
      <c r="L50" s="1">
        <v>0</v>
      </c>
      <c r="M50" s="1">
        <v>0</v>
      </c>
      <c r="N50" s="1">
        <v>0</v>
      </c>
      <c r="O50" s="1">
        <v>2</v>
      </c>
      <c r="P50" s="1">
        <v>63</v>
      </c>
      <c r="Q50" s="1">
        <v>458</v>
      </c>
      <c r="R50" s="1">
        <v>0</v>
      </c>
      <c r="S50" s="1">
        <v>228</v>
      </c>
      <c r="T50" s="1">
        <v>0</v>
      </c>
      <c r="U50" s="1">
        <v>0</v>
      </c>
      <c r="V50" s="1">
        <v>0</v>
      </c>
      <c r="W50" s="1">
        <v>215</v>
      </c>
      <c r="X50" s="1">
        <v>91</v>
      </c>
      <c r="Y50" s="1">
        <v>821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252</v>
      </c>
      <c r="AF50" s="1">
        <v>92</v>
      </c>
      <c r="AG50" s="1">
        <v>521</v>
      </c>
      <c r="AH50" s="1">
        <v>0</v>
      </c>
      <c r="AI50" s="1">
        <v>17</v>
      </c>
      <c r="AJ50" s="1">
        <v>0</v>
      </c>
      <c r="AK50" s="1">
        <v>48</v>
      </c>
      <c r="AL50" s="1">
        <v>0</v>
      </c>
      <c r="AM50" s="1">
        <v>607</v>
      </c>
      <c r="AN50" s="1">
        <v>0</v>
      </c>
      <c r="AO50" s="1">
        <v>228</v>
      </c>
      <c r="AP50" s="1">
        <v>0</v>
      </c>
      <c r="AQ50" s="1">
        <v>289</v>
      </c>
      <c r="AR50" s="1">
        <v>0</v>
      </c>
      <c r="AS50" s="1">
        <v>577</v>
      </c>
      <c r="AT50" s="1">
        <v>0</v>
      </c>
      <c r="AU50" s="1">
        <v>3800</v>
      </c>
      <c r="AV50" s="1">
        <v>0</v>
      </c>
      <c r="AW50" s="1">
        <v>432</v>
      </c>
      <c r="AX50" s="1">
        <v>0</v>
      </c>
      <c r="AY50" s="1">
        <v>623</v>
      </c>
      <c r="AZ50" s="1">
        <v>0</v>
      </c>
      <c r="BA50" s="1">
        <v>23</v>
      </c>
    </row>
    <row r="51" spans="1:53">
      <c r="A51" s="19">
        <v>17004</v>
      </c>
      <c r="B51" s="1">
        <v>2024</v>
      </c>
      <c r="C51" s="1">
        <v>21092</v>
      </c>
      <c r="D51" s="1">
        <v>0</v>
      </c>
      <c r="E51" s="1">
        <v>0</v>
      </c>
      <c r="F51" s="1">
        <v>23</v>
      </c>
      <c r="G51" s="1">
        <v>135</v>
      </c>
      <c r="H51" s="1">
        <v>625</v>
      </c>
      <c r="I51" s="1">
        <v>721</v>
      </c>
      <c r="J51" s="1">
        <v>476</v>
      </c>
      <c r="K51" s="1">
        <v>343</v>
      </c>
      <c r="L51" s="1">
        <v>0</v>
      </c>
      <c r="M51" s="1">
        <v>46</v>
      </c>
      <c r="N51" s="1">
        <v>0</v>
      </c>
      <c r="O51" s="1">
        <v>654</v>
      </c>
      <c r="P51" s="1">
        <v>0</v>
      </c>
      <c r="Q51" s="1">
        <v>476</v>
      </c>
      <c r="R51" s="1">
        <v>0</v>
      </c>
      <c r="S51" s="1">
        <v>388</v>
      </c>
      <c r="T51" s="1">
        <v>0</v>
      </c>
      <c r="U51" s="1">
        <v>1410</v>
      </c>
      <c r="V51" s="1">
        <v>1</v>
      </c>
      <c r="W51" s="1">
        <v>574</v>
      </c>
      <c r="X51" s="1">
        <v>35</v>
      </c>
      <c r="Y51" s="1">
        <v>979</v>
      </c>
      <c r="Z51" s="1">
        <v>0</v>
      </c>
      <c r="AA51" s="1">
        <v>235</v>
      </c>
      <c r="AB51" s="1">
        <v>0</v>
      </c>
      <c r="AC51" s="1">
        <v>741</v>
      </c>
      <c r="AD51" s="1">
        <v>9</v>
      </c>
      <c r="AE51" s="1">
        <v>719</v>
      </c>
      <c r="AF51" s="1">
        <v>56</v>
      </c>
      <c r="AG51" s="1">
        <v>1119</v>
      </c>
      <c r="AH51" s="1">
        <v>0</v>
      </c>
      <c r="AI51" s="1">
        <v>267</v>
      </c>
      <c r="AJ51" s="1">
        <v>94</v>
      </c>
      <c r="AK51" s="1">
        <v>878</v>
      </c>
      <c r="AL51" s="1">
        <v>0</v>
      </c>
      <c r="AM51" s="1">
        <v>1687</v>
      </c>
      <c r="AN51" s="1">
        <v>0</v>
      </c>
      <c r="AO51" s="1">
        <v>119</v>
      </c>
      <c r="AP51" s="1">
        <v>0</v>
      </c>
      <c r="AQ51" s="1">
        <v>170</v>
      </c>
      <c r="AR51" s="1">
        <v>0</v>
      </c>
      <c r="AS51" s="1">
        <v>1276</v>
      </c>
      <c r="AT51" s="1">
        <v>0</v>
      </c>
      <c r="AU51" s="1">
        <v>4022</v>
      </c>
      <c r="AV51" s="1">
        <v>0</v>
      </c>
      <c r="AW51" s="1">
        <v>1355</v>
      </c>
      <c r="AX51" s="1">
        <v>0</v>
      </c>
      <c r="AY51" s="1">
        <v>1404</v>
      </c>
      <c r="AZ51" s="1">
        <v>0</v>
      </c>
      <c r="BA51" s="1">
        <v>55</v>
      </c>
    </row>
    <row r="52" spans="1:53">
      <c r="A52" s="19">
        <v>18001</v>
      </c>
      <c r="B52" s="1">
        <v>2024</v>
      </c>
      <c r="C52" s="1">
        <v>24564</v>
      </c>
      <c r="D52" s="1">
        <v>0</v>
      </c>
      <c r="E52" s="1">
        <v>0</v>
      </c>
      <c r="F52" s="1">
        <v>871</v>
      </c>
      <c r="G52" s="1">
        <v>126</v>
      </c>
      <c r="H52" s="1">
        <v>1032</v>
      </c>
      <c r="I52" s="1">
        <v>2580</v>
      </c>
      <c r="J52" s="1">
        <v>807</v>
      </c>
      <c r="K52" s="1">
        <v>651</v>
      </c>
      <c r="L52" s="1">
        <v>0</v>
      </c>
      <c r="M52" s="1">
        <v>92</v>
      </c>
      <c r="N52" s="1">
        <v>245</v>
      </c>
      <c r="O52" s="1">
        <v>337</v>
      </c>
      <c r="P52" s="1">
        <v>25</v>
      </c>
      <c r="Q52" s="1">
        <v>557</v>
      </c>
      <c r="R52" s="1">
        <v>0</v>
      </c>
      <c r="S52" s="1">
        <v>511</v>
      </c>
      <c r="T52" s="1">
        <v>0</v>
      </c>
      <c r="U52" s="1">
        <v>589</v>
      </c>
      <c r="V52" s="1">
        <v>0</v>
      </c>
      <c r="W52" s="1">
        <v>474</v>
      </c>
      <c r="X52" s="1">
        <v>553</v>
      </c>
      <c r="Y52" s="1">
        <v>1965</v>
      </c>
      <c r="Z52" s="1">
        <v>243</v>
      </c>
      <c r="AA52" s="1">
        <v>87</v>
      </c>
      <c r="AB52" s="1">
        <v>8</v>
      </c>
      <c r="AC52" s="1">
        <v>150</v>
      </c>
      <c r="AD52" s="1">
        <v>7</v>
      </c>
      <c r="AE52" s="1">
        <v>726</v>
      </c>
      <c r="AF52" s="1">
        <v>291</v>
      </c>
      <c r="AG52" s="1">
        <v>1575</v>
      </c>
      <c r="AH52" s="1">
        <v>0</v>
      </c>
      <c r="AI52" s="1">
        <v>459</v>
      </c>
      <c r="AJ52" s="1">
        <v>123</v>
      </c>
      <c r="AK52" s="1">
        <v>516</v>
      </c>
      <c r="AL52" s="1">
        <v>0</v>
      </c>
      <c r="AM52" s="1">
        <v>77</v>
      </c>
      <c r="AN52" s="1">
        <v>0</v>
      </c>
      <c r="AO52" s="1">
        <v>411</v>
      </c>
      <c r="AP52" s="1">
        <v>0</v>
      </c>
      <c r="AQ52" s="1">
        <v>389</v>
      </c>
      <c r="AR52" s="1">
        <v>0</v>
      </c>
      <c r="AS52" s="1">
        <v>789</v>
      </c>
      <c r="AT52" s="1">
        <v>0</v>
      </c>
      <c r="AU52" s="1">
        <v>2704</v>
      </c>
      <c r="AV52" s="1">
        <v>0</v>
      </c>
      <c r="AW52" s="1">
        <v>925</v>
      </c>
      <c r="AX52" s="1">
        <v>0</v>
      </c>
      <c r="AY52" s="1">
        <v>2692</v>
      </c>
      <c r="AZ52" s="1">
        <v>0</v>
      </c>
      <c r="BA52" s="1">
        <v>977</v>
      </c>
    </row>
    <row r="53" spans="1:53">
      <c r="A53" s="19">
        <v>18002</v>
      </c>
      <c r="B53" s="1">
        <v>2024</v>
      </c>
      <c r="C53" s="1">
        <v>15411</v>
      </c>
      <c r="D53" s="1">
        <v>0</v>
      </c>
      <c r="E53" s="1">
        <v>262</v>
      </c>
      <c r="F53" s="1">
        <v>52</v>
      </c>
      <c r="G53" s="1">
        <v>22</v>
      </c>
      <c r="H53" s="1">
        <v>101</v>
      </c>
      <c r="I53" s="1">
        <v>106</v>
      </c>
      <c r="J53" s="1">
        <v>12</v>
      </c>
      <c r="K53" s="1">
        <v>16</v>
      </c>
      <c r="L53" s="1">
        <v>0</v>
      </c>
      <c r="M53" s="1">
        <v>8</v>
      </c>
      <c r="N53" s="1">
        <v>6</v>
      </c>
      <c r="O53" s="1">
        <v>0</v>
      </c>
      <c r="P53" s="1">
        <v>0</v>
      </c>
      <c r="Q53" s="1">
        <v>91</v>
      </c>
      <c r="R53" s="1">
        <v>10</v>
      </c>
      <c r="S53" s="1">
        <v>75</v>
      </c>
      <c r="T53" s="1">
        <v>0</v>
      </c>
      <c r="U53" s="1">
        <v>853</v>
      </c>
      <c r="V53" s="1">
        <v>0</v>
      </c>
      <c r="W53" s="1">
        <v>439</v>
      </c>
      <c r="X53" s="1">
        <v>0</v>
      </c>
      <c r="Y53" s="1">
        <v>821</v>
      </c>
      <c r="Z53" s="1">
        <v>0</v>
      </c>
      <c r="AA53" s="1">
        <v>0</v>
      </c>
      <c r="AB53" s="1">
        <v>0</v>
      </c>
      <c r="AC53" s="1">
        <v>278</v>
      </c>
      <c r="AD53" s="1">
        <v>0</v>
      </c>
      <c r="AE53" s="1">
        <v>566</v>
      </c>
      <c r="AF53" s="1">
        <v>0</v>
      </c>
      <c r="AG53" s="1">
        <v>1297</v>
      </c>
      <c r="AH53" s="1">
        <v>0</v>
      </c>
      <c r="AI53" s="1">
        <v>46</v>
      </c>
      <c r="AJ53" s="1">
        <v>5</v>
      </c>
      <c r="AK53" s="1">
        <v>219</v>
      </c>
      <c r="AL53" s="1">
        <v>0</v>
      </c>
      <c r="AM53" s="1">
        <v>937</v>
      </c>
      <c r="AN53" s="1">
        <v>0</v>
      </c>
      <c r="AO53" s="1">
        <v>390</v>
      </c>
      <c r="AP53" s="1">
        <v>0</v>
      </c>
      <c r="AQ53" s="1">
        <v>1987</v>
      </c>
      <c r="AR53" s="1">
        <v>0</v>
      </c>
      <c r="AS53" s="1">
        <v>2318</v>
      </c>
      <c r="AT53" s="1">
        <v>0</v>
      </c>
      <c r="AU53" s="1">
        <v>2744</v>
      </c>
      <c r="AV53" s="1">
        <v>0</v>
      </c>
      <c r="AW53" s="1">
        <v>434</v>
      </c>
      <c r="AX53" s="1">
        <v>0</v>
      </c>
      <c r="AY53" s="1">
        <v>1316</v>
      </c>
      <c r="AZ53" s="1">
        <v>0</v>
      </c>
      <c r="BA53" s="1">
        <v>0</v>
      </c>
    </row>
    <row r="54" spans="1:53">
      <c r="A54" s="19">
        <v>18003</v>
      </c>
      <c r="B54" s="1">
        <v>2024</v>
      </c>
      <c r="C54" s="1">
        <v>13871</v>
      </c>
      <c r="D54" s="1">
        <v>0</v>
      </c>
      <c r="E54" s="1">
        <v>0</v>
      </c>
      <c r="F54" s="1">
        <v>894</v>
      </c>
      <c r="G54" s="1">
        <v>175</v>
      </c>
      <c r="H54" s="1">
        <v>282</v>
      </c>
      <c r="I54" s="1">
        <v>873</v>
      </c>
      <c r="J54" s="1">
        <v>261</v>
      </c>
      <c r="K54" s="1">
        <v>4</v>
      </c>
      <c r="L54" s="1">
        <v>0</v>
      </c>
      <c r="M54" s="1">
        <v>371</v>
      </c>
      <c r="N54" s="1">
        <v>0</v>
      </c>
      <c r="O54" s="1">
        <v>15</v>
      </c>
      <c r="P54" s="1">
        <v>51</v>
      </c>
      <c r="Q54" s="1">
        <v>86</v>
      </c>
      <c r="R54" s="1">
        <v>12</v>
      </c>
      <c r="S54" s="1">
        <v>147</v>
      </c>
      <c r="T54" s="1">
        <v>0</v>
      </c>
      <c r="U54" s="1">
        <v>105</v>
      </c>
      <c r="V54" s="1">
        <v>0</v>
      </c>
      <c r="W54" s="1">
        <v>351</v>
      </c>
      <c r="X54" s="1">
        <v>76</v>
      </c>
      <c r="Y54" s="1">
        <v>1035</v>
      </c>
      <c r="Z54" s="1">
        <v>39</v>
      </c>
      <c r="AA54" s="1">
        <v>21</v>
      </c>
      <c r="AB54" s="1">
        <v>0</v>
      </c>
      <c r="AC54" s="1">
        <v>347</v>
      </c>
      <c r="AD54" s="1">
        <v>31</v>
      </c>
      <c r="AE54" s="1">
        <v>324</v>
      </c>
      <c r="AF54" s="1">
        <v>275</v>
      </c>
      <c r="AG54" s="1">
        <v>648</v>
      </c>
      <c r="AH54" s="1">
        <v>0</v>
      </c>
      <c r="AI54" s="1">
        <v>200</v>
      </c>
      <c r="AJ54" s="1">
        <v>0</v>
      </c>
      <c r="AK54" s="1">
        <v>26</v>
      </c>
      <c r="AL54" s="1">
        <v>0</v>
      </c>
      <c r="AM54" s="1">
        <v>446</v>
      </c>
      <c r="AN54" s="1">
        <v>0</v>
      </c>
      <c r="AO54" s="1">
        <v>140</v>
      </c>
      <c r="AP54" s="1">
        <v>0</v>
      </c>
      <c r="AQ54" s="1">
        <v>536</v>
      </c>
      <c r="AR54" s="1">
        <v>0</v>
      </c>
      <c r="AS54" s="1">
        <v>477</v>
      </c>
      <c r="AT54" s="1">
        <v>0</v>
      </c>
      <c r="AU54" s="1">
        <v>4237</v>
      </c>
      <c r="AV54" s="1">
        <v>0</v>
      </c>
      <c r="AW54" s="1">
        <v>764</v>
      </c>
      <c r="AX54" s="1">
        <v>0</v>
      </c>
      <c r="AY54" s="1">
        <v>406</v>
      </c>
      <c r="AZ54" s="1">
        <v>0</v>
      </c>
      <c r="BA54" s="1">
        <v>216</v>
      </c>
    </row>
    <row r="55" spans="1:53">
      <c r="A55" s="19">
        <v>19001</v>
      </c>
      <c r="B55" s="1">
        <v>2024</v>
      </c>
      <c r="C55" s="1">
        <v>38674</v>
      </c>
      <c r="D55" s="1">
        <v>0</v>
      </c>
      <c r="E55" s="1">
        <v>464</v>
      </c>
      <c r="F55" s="1">
        <v>419</v>
      </c>
      <c r="G55" s="1">
        <v>879</v>
      </c>
      <c r="H55" s="1">
        <v>2912</v>
      </c>
      <c r="I55" s="1">
        <v>4796</v>
      </c>
      <c r="J55" s="1">
        <v>2478</v>
      </c>
      <c r="K55" s="1">
        <v>358</v>
      </c>
      <c r="L55" s="1">
        <v>0</v>
      </c>
      <c r="M55" s="1">
        <v>131</v>
      </c>
      <c r="N55" s="1">
        <v>0</v>
      </c>
      <c r="O55" s="1">
        <v>30</v>
      </c>
      <c r="P55" s="1">
        <v>0</v>
      </c>
      <c r="Q55" s="1">
        <v>43</v>
      </c>
      <c r="R55" s="1">
        <v>0</v>
      </c>
      <c r="S55" s="1">
        <v>172</v>
      </c>
      <c r="T55" s="1">
        <v>0</v>
      </c>
      <c r="U55" s="1">
        <v>2762</v>
      </c>
      <c r="V55" s="1">
        <v>38</v>
      </c>
      <c r="W55" s="1">
        <v>2180</v>
      </c>
      <c r="X55" s="1">
        <v>0</v>
      </c>
      <c r="Y55" s="1">
        <v>2488</v>
      </c>
      <c r="Z55" s="1">
        <v>0</v>
      </c>
      <c r="AA55" s="1">
        <v>610</v>
      </c>
      <c r="AB55" s="1">
        <v>0</v>
      </c>
      <c r="AC55" s="1">
        <v>685</v>
      </c>
      <c r="AD55" s="1">
        <v>0</v>
      </c>
      <c r="AE55" s="1">
        <v>1059</v>
      </c>
      <c r="AF55" s="1">
        <v>92</v>
      </c>
      <c r="AG55" s="1">
        <v>3096</v>
      </c>
      <c r="AH55" s="1">
        <v>0</v>
      </c>
      <c r="AI55" s="1">
        <v>358</v>
      </c>
      <c r="AJ55" s="1">
        <v>0</v>
      </c>
      <c r="AK55" s="1">
        <v>185</v>
      </c>
      <c r="AL55" s="1">
        <v>0</v>
      </c>
      <c r="AM55" s="1">
        <v>273</v>
      </c>
      <c r="AN55" s="1">
        <v>0</v>
      </c>
      <c r="AO55" s="1">
        <v>101</v>
      </c>
      <c r="AP55" s="1">
        <v>0</v>
      </c>
      <c r="AQ55" s="1">
        <v>1885</v>
      </c>
      <c r="AR55" s="1">
        <v>0</v>
      </c>
      <c r="AS55" s="1">
        <v>2639</v>
      </c>
      <c r="AT55" s="1">
        <v>0</v>
      </c>
      <c r="AU55" s="1">
        <v>5203</v>
      </c>
      <c r="AV55" s="1">
        <v>0</v>
      </c>
      <c r="AW55" s="1">
        <v>1519</v>
      </c>
      <c r="AX55" s="1">
        <v>0</v>
      </c>
      <c r="AY55" s="1">
        <v>819</v>
      </c>
      <c r="AZ55" s="1">
        <v>0</v>
      </c>
      <c r="BA55" s="1">
        <v>0</v>
      </c>
    </row>
    <row r="56" spans="1:53">
      <c r="A56" s="19">
        <v>19002</v>
      </c>
      <c r="B56" s="1">
        <v>2024</v>
      </c>
      <c r="C56" s="1">
        <v>61067</v>
      </c>
      <c r="D56" s="1">
        <v>0</v>
      </c>
      <c r="E56" s="1">
        <v>0</v>
      </c>
      <c r="F56" s="1">
        <v>1270</v>
      </c>
      <c r="G56" s="1">
        <v>517</v>
      </c>
      <c r="H56" s="1">
        <v>970</v>
      </c>
      <c r="I56" s="1">
        <v>5187</v>
      </c>
      <c r="J56" s="1">
        <v>1010</v>
      </c>
      <c r="K56" s="1">
        <v>1775</v>
      </c>
      <c r="L56" s="1">
        <v>117</v>
      </c>
      <c r="M56" s="1">
        <v>168</v>
      </c>
      <c r="N56" s="1">
        <v>0</v>
      </c>
      <c r="O56" s="1">
        <v>797</v>
      </c>
      <c r="P56" s="1">
        <v>44</v>
      </c>
      <c r="Q56" s="1">
        <v>5482</v>
      </c>
      <c r="R56" s="1">
        <v>96</v>
      </c>
      <c r="S56" s="1">
        <v>1990</v>
      </c>
      <c r="T56" s="1">
        <v>14</v>
      </c>
      <c r="U56" s="1">
        <v>1619</v>
      </c>
      <c r="V56" s="1">
        <v>0</v>
      </c>
      <c r="W56" s="1">
        <v>1871</v>
      </c>
      <c r="X56" s="1">
        <v>0</v>
      </c>
      <c r="Y56" s="1">
        <v>5135</v>
      </c>
      <c r="Z56" s="1">
        <v>31</v>
      </c>
      <c r="AA56" s="1">
        <v>648</v>
      </c>
      <c r="AB56" s="1">
        <v>0</v>
      </c>
      <c r="AC56" s="1">
        <v>194</v>
      </c>
      <c r="AD56" s="1">
        <v>16</v>
      </c>
      <c r="AE56" s="1">
        <v>1782</v>
      </c>
      <c r="AF56" s="1">
        <v>30</v>
      </c>
      <c r="AG56" s="1">
        <v>3981</v>
      </c>
      <c r="AH56" s="1">
        <v>25</v>
      </c>
      <c r="AI56" s="1">
        <v>343</v>
      </c>
      <c r="AJ56" s="1">
        <v>0</v>
      </c>
      <c r="AK56" s="1">
        <v>1328</v>
      </c>
      <c r="AL56" s="1">
        <v>0</v>
      </c>
      <c r="AM56" s="1">
        <v>3185</v>
      </c>
      <c r="AN56" s="1">
        <v>0</v>
      </c>
      <c r="AO56" s="1">
        <v>1985</v>
      </c>
      <c r="AP56" s="1">
        <v>0</v>
      </c>
      <c r="AQ56" s="1">
        <v>635</v>
      </c>
      <c r="AR56" s="1">
        <v>0</v>
      </c>
      <c r="AS56" s="1">
        <v>2198</v>
      </c>
      <c r="AT56" s="1">
        <v>0</v>
      </c>
      <c r="AU56" s="1">
        <v>10441</v>
      </c>
      <c r="AV56" s="1">
        <v>0</v>
      </c>
      <c r="AW56" s="1">
        <v>2411</v>
      </c>
      <c r="AX56" s="1">
        <v>0</v>
      </c>
      <c r="AY56" s="1">
        <v>3770</v>
      </c>
      <c r="AZ56" s="1">
        <v>2</v>
      </c>
      <c r="BA56" s="1">
        <v>0</v>
      </c>
    </row>
    <row r="57" spans="1:53">
      <c r="A57" s="19">
        <v>19003</v>
      </c>
      <c r="B57" s="1">
        <v>2024</v>
      </c>
      <c r="C57" s="1">
        <v>23961</v>
      </c>
      <c r="D57" s="1">
        <v>0</v>
      </c>
      <c r="E57" s="1">
        <v>0</v>
      </c>
      <c r="F57" s="1">
        <v>0</v>
      </c>
      <c r="G57" s="1">
        <v>225</v>
      </c>
      <c r="H57" s="1">
        <v>849</v>
      </c>
      <c r="I57" s="1">
        <v>1556</v>
      </c>
      <c r="J57" s="1">
        <v>929</v>
      </c>
      <c r="K57" s="1">
        <v>154</v>
      </c>
      <c r="L57" s="1">
        <v>0</v>
      </c>
      <c r="M57" s="1">
        <v>0</v>
      </c>
      <c r="N57" s="1">
        <v>5</v>
      </c>
      <c r="O57" s="1">
        <v>10</v>
      </c>
      <c r="P57" s="1">
        <v>0</v>
      </c>
      <c r="Q57" s="1">
        <v>6</v>
      </c>
      <c r="R57" s="1">
        <v>14</v>
      </c>
      <c r="S57" s="1">
        <v>43</v>
      </c>
      <c r="T57" s="1">
        <v>0</v>
      </c>
      <c r="U57" s="1">
        <v>199</v>
      </c>
      <c r="V57" s="1">
        <v>0</v>
      </c>
      <c r="W57" s="1">
        <v>229</v>
      </c>
      <c r="X57" s="1">
        <v>92</v>
      </c>
      <c r="Y57" s="1">
        <v>1978</v>
      </c>
      <c r="Z57" s="1">
        <v>0</v>
      </c>
      <c r="AA57" s="1">
        <v>743</v>
      </c>
      <c r="AB57" s="1">
        <v>0</v>
      </c>
      <c r="AC57" s="1">
        <v>355</v>
      </c>
      <c r="AD57" s="1">
        <v>0</v>
      </c>
      <c r="AE57" s="1">
        <v>363</v>
      </c>
      <c r="AF57" s="1">
        <v>0</v>
      </c>
      <c r="AG57" s="1">
        <v>2271</v>
      </c>
      <c r="AH57" s="1">
        <v>0</v>
      </c>
      <c r="AI57" s="1">
        <v>871</v>
      </c>
      <c r="AJ57" s="1">
        <v>0</v>
      </c>
      <c r="AK57" s="1">
        <v>153</v>
      </c>
      <c r="AL57" s="1">
        <v>0</v>
      </c>
      <c r="AM57" s="1">
        <v>1247</v>
      </c>
      <c r="AN57" s="1">
        <v>0</v>
      </c>
      <c r="AO57" s="1">
        <v>130</v>
      </c>
      <c r="AP57" s="1">
        <v>0</v>
      </c>
      <c r="AQ57" s="1">
        <v>805</v>
      </c>
      <c r="AR57" s="1">
        <v>0</v>
      </c>
      <c r="AS57" s="1">
        <v>1487</v>
      </c>
      <c r="AT57" s="1">
        <v>0</v>
      </c>
      <c r="AU57" s="1">
        <v>6583</v>
      </c>
      <c r="AV57" s="1">
        <v>0</v>
      </c>
      <c r="AW57" s="1">
        <v>2050</v>
      </c>
      <c r="AX57" s="1">
        <v>0</v>
      </c>
      <c r="AY57" s="1">
        <v>610</v>
      </c>
      <c r="AZ57" s="1">
        <v>0</v>
      </c>
      <c r="BA57" s="1">
        <v>4</v>
      </c>
    </row>
    <row r="58" spans="1:53">
      <c r="A58" s="19">
        <v>19005</v>
      </c>
      <c r="B58" s="1">
        <v>2024</v>
      </c>
      <c r="C58" s="1">
        <v>24750</v>
      </c>
      <c r="D58" s="1">
        <v>0</v>
      </c>
      <c r="E58" s="1">
        <v>73</v>
      </c>
      <c r="F58" s="1">
        <v>0</v>
      </c>
      <c r="G58" s="1">
        <v>125</v>
      </c>
      <c r="H58" s="1">
        <v>1650</v>
      </c>
      <c r="I58" s="1">
        <v>1570</v>
      </c>
      <c r="J58" s="1">
        <v>949</v>
      </c>
      <c r="K58" s="1">
        <v>759</v>
      </c>
      <c r="L58" s="1">
        <v>0</v>
      </c>
      <c r="M58" s="1">
        <v>43</v>
      </c>
      <c r="N58" s="1">
        <v>41</v>
      </c>
      <c r="O58" s="1">
        <v>334</v>
      </c>
      <c r="P58" s="1">
        <v>0</v>
      </c>
      <c r="Q58" s="1">
        <v>19</v>
      </c>
      <c r="R58" s="1">
        <v>0</v>
      </c>
      <c r="S58" s="1">
        <v>34</v>
      </c>
      <c r="T58" s="1">
        <v>0</v>
      </c>
      <c r="U58" s="1">
        <v>479</v>
      </c>
      <c r="V58" s="1">
        <v>21</v>
      </c>
      <c r="W58" s="1">
        <v>2154</v>
      </c>
      <c r="X58" s="1">
        <v>64</v>
      </c>
      <c r="Y58" s="1">
        <v>1741</v>
      </c>
      <c r="Z58" s="1">
        <v>0</v>
      </c>
      <c r="AA58" s="1">
        <v>227</v>
      </c>
      <c r="AB58" s="1">
        <v>0</v>
      </c>
      <c r="AC58" s="1">
        <v>26</v>
      </c>
      <c r="AD58" s="1">
        <v>0</v>
      </c>
      <c r="AE58" s="1">
        <v>2063</v>
      </c>
      <c r="AF58" s="1">
        <v>0</v>
      </c>
      <c r="AG58" s="1">
        <v>459</v>
      </c>
      <c r="AH58" s="1">
        <v>0</v>
      </c>
      <c r="AI58" s="1">
        <v>104</v>
      </c>
      <c r="AJ58" s="1">
        <v>127</v>
      </c>
      <c r="AK58" s="1">
        <v>1781</v>
      </c>
      <c r="AL58" s="1">
        <v>0</v>
      </c>
      <c r="AM58" s="1">
        <v>110</v>
      </c>
      <c r="AN58" s="1">
        <v>0</v>
      </c>
      <c r="AO58" s="1">
        <v>139</v>
      </c>
      <c r="AP58" s="1">
        <v>0</v>
      </c>
      <c r="AQ58" s="1">
        <v>553</v>
      </c>
      <c r="AR58" s="1">
        <v>0</v>
      </c>
      <c r="AS58" s="1">
        <v>1701</v>
      </c>
      <c r="AT58" s="1">
        <v>0</v>
      </c>
      <c r="AU58" s="1">
        <v>2981</v>
      </c>
      <c r="AV58" s="1">
        <v>0</v>
      </c>
      <c r="AW58" s="1">
        <v>527</v>
      </c>
      <c r="AX58" s="1">
        <v>0</v>
      </c>
      <c r="AY58" s="1">
        <v>3788</v>
      </c>
      <c r="AZ58" s="1">
        <v>0</v>
      </c>
      <c r="BA58" s="1">
        <v>108</v>
      </c>
    </row>
    <row r="59" spans="1:53">
      <c r="A59" s="19">
        <v>19007</v>
      </c>
      <c r="B59" s="1">
        <v>2024</v>
      </c>
      <c r="C59" s="1">
        <v>53506</v>
      </c>
      <c r="D59" s="1">
        <v>0</v>
      </c>
      <c r="E59" s="1">
        <v>62</v>
      </c>
      <c r="F59" s="1">
        <v>28</v>
      </c>
      <c r="G59" s="1">
        <v>107</v>
      </c>
      <c r="H59" s="1">
        <v>2486</v>
      </c>
      <c r="I59" s="1">
        <v>6311</v>
      </c>
      <c r="J59" s="1">
        <v>4512</v>
      </c>
      <c r="K59" s="1">
        <v>2279</v>
      </c>
      <c r="L59" s="1">
        <v>0</v>
      </c>
      <c r="M59" s="1">
        <v>116</v>
      </c>
      <c r="N59" s="1">
        <v>18</v>
      </c>
      <c r="O59" s="1">
        <v>143</v>
      </c>
      <c r="P59" s="1">
        <v>15</v>
      </c>
      <c r="Q59" s="1">
        <v>422</v>
      </c>
      <c r="R59" s="1">
        <v>105</v>
      </c>
      <c r="S59" s="1">
        <v>873</v>
      </c>
      <c r="T59" s="1">
        <v>61</v>
      </c>
      <c r="U59" s="1">
        <v>450</v>
      </c>
      <c r="V59" s="1">
        <v>213</v>
      </c>
      <c r="W59" s="1">
        <v>1310</v>
      </c>
      <c r="X59" s="1">
        <v>316</v>
      </c>
      <c r="Y59" s="1">
        <v>2564</v>
      </c>
      <c r="Z59" s="1">
        <v>235</v>
      </c>
      <c r="AA59" s="1">
        <v>913</v>
      </c>
      <c r="AB59" s="1">
        <v>0</v>
      </c>
      <c r="AC59" s="1">
        <v>204</v>
      </c>
      <c r="AD59" s="1">
        <v>202</v>
      </c>
      <c r="AE59" s="1">
        <v>1353</v>
      </c>
      <c r="AF59" s="1">
        <v>244</v>
      </c>
      <c r="AG59" s="1">
        <v>3482</v>
      </c>
      <c r="AH59" s="1">
        <v>0</v>
      </c>
      <c r="AI59" s="1">
        <v>699</v>
      </c>
      <c r="AJ59" s="1">
        <v>46</v>
      </c>
      <c r="AK59" s="1">
        <v>390</v>
      </c>
      <c r="AL59" s="1">
        <v>0</v>
      </c>
      <c r="AM59" s="1">
        <v>2638</v>
      </c>
      <c r="AN59" s="1">
        <v>0</v>
      </c>
      <c r="AO59" s="1">
        <v>1941</v>
      </c>
      <c r="AP59" s="1">
        <v>0</v>
      </c>
      <c r="AQ59" s="1">
        <v>220</v>
      </c>
      <c r="AR59" s="1">
        <v>0</v>
      </c>
      <c r="AS59" s="1">
        <v>1546</v>
      </c>
      <c r="AT59" s="1">
        <v>0</v>
      </c>
      <c r="AU59" s="1">
        <v>9169</v>
      </c>
      <c r="AV59" s="1">
        <v>0</v>
      </c>
      <c r="AW59" s="1">
        <v>2865</v>
      </c>
      <c r="AX59" s="1">
        <v>0</v>
      </c>
      <c r="AY59" s="1">
        <v>4968</v>
      </c>
      <c r="AZ59" s="1">
        <v>0</v>
      </c>
      <c r="BA59" s="1">
        <v>0</v>
      </c>
    </row>
    <row r="60" spans="1:53">
      <c r="A60" s="19">
        <v>19008</v>
      </c>
      <c r="B60" s="1">
        <v>2024</v>
      </c>
      <c r="C60" s="1">
        <v>18217</v>
      </c>
      <c r="D60" s="1">
        <v>0</v>
      </c>
      <c r="E60" s="1">
        <v>0</v>
      </c>
      <c r="F60" s="1">
        <v>0</v>
      </c>
      <c r="G60" s="1">
        <v>76</v>
      </c>
      <c r="H60" s="1">
        <v>515</v>
      </c>
      <c r="I60" s="1">
        <v>3326</v>
      </c>
      <c r="J60" s="1">
        <v>634</v>
      </c>
      <c r="K60" s="1">
        <v>218</v>
      </c>
      <c r="L60" s="1">
        <v>0</v>
      </c>
      <c r="M60" s="1">
        <v>0</v>
      </c>
      <c r="N60" s="1">
        <v>0</v>
      </c>
      <c r="O60" s="1">
        <v>184</v>
      </c>
      <c r="P60" s="1">
        <v>188</v>
      </c>
      <c r="Q60" s="1">
        <v>140</v>
      </c>
      <c r="R60" s="1">
        <v>31</v>
      </c>
      <c r="S60" s="1">
        <v>338</v>
      </c>
      <c r="T60" s="1">
        <v>26</v>
      </c>
      <c r="U60" s="1">
        <v>21</v>
      </c>
      <c r="V60" s="1">
        <v>0</v>
      </c>
      <c r="W60" s="1">
        <v>442</v>
      </c>
      <c r="X60" s="1">
        <v>11</v>
      </c>
      <c r="Y60" s="1">
        <v>2344</v>
      </c>
      <c r="Z60" s="1">
        <v>36</v>
      </c>
      <c r="AA60" s="1">
        <v>351</v>
      </c>
      <c r="AB60" s="1">
        <v>0</v>
      </c>
      <c r="AC60" s="1">
        <v>0</v>
      </c>
      <c r="AD60" s="1">
        <v>0</v>
      </c>
      <c r="AE60" s="1">
        <v>343</v>
      </c>
      <c r="AF60" s="1">
        <v>0</v>
      </c>
      <c r="AG60" s="1">
        <v>1393</v>
      </c>
      <c r="AH60" s="1">
        <v>0</v>
      </c>
      <c r="AI60" s="1">
        <v>300</v>
      </c>
      <c r="AJ60" s="1">
        <v>0</v>
      </c>
      <c r="AK60" s="1">
        <v>275</v>
      </c>
      <c r="AL60" s="1">
        <v>0</v>
      </c>
      <c r="AM60" s="1">
        <v>397</v>
      </c>
      <c r="AN60" s="1">
        <v>0</v>
      </c>
      <c r="AO60" s="1">
        <v>99</v>
      </c>
      <c r="AP60" s="1">
        <v>0</v>
      </c>
      <c r="AQ60" s="1">
        <v>145</v>
      </c>
      <c r="AR60" s="1">
        <v>0</v>
      </c>
      <c r="AS60" s="1">
        <v>984</v>
      </c>
      <c r="AT60" s="1">
        <v>0</v>
      </c>
      <c r="AU60" s="1">
        <v>2994</v>
      </c>
      <c r="AV60" s="1">
        <v>0</v>
      </c>
      <c r="AW60" s="1">
        <v>1407</v>
      </c>
      <c r="AX60" s="1">
        <v>0</v>
      </c>
      <c r="AY60" s="1">
        <v>999</v>
      </c>
      <c r="AZ60" s="1">
        <v>0</v>
      </c>
      <c r="BA60" s="1">
        <v>0</v>
      </c>
    </row>
    <row r="61" spans="1:53">
      <c r="A61" s="19">
        <v>19009</v>
      </c>
      <c r="B61" s="1">
        <v>2024</v>
      </c>
      <c r="C61" s="1">
        <v>12537</v>
      </c>
      <c r="D61" s="1">
        <v>0</v>
      </c>
      <c r="E61" s="1">
        <v>0</v>
      </c>
      <c r="F61" s="1">
        <v>114</v>
      </c>
      <c r="G61" s="1">
        <v>54</v>
      </c>
      <c r="H61" s="1">
        <v>885</v>
      </c>
      <c r="I61" s="1">
        <v>823</v>
      </c>
      <c r="J61" s="1">
        <v>215</v>
      </c>
      <c r="K61" s="1">
        <v>128</v>
      </c>
      <c r="L61" s="1">
        <v>0</v>
      </c>
      <c r="M61" s="1">
        <v>79</v>
      </c>
      <c r="N61" s="1">
        <v>95</v>
      </c>
      <c r="O61" s="1">
        <v>154</v>
      </c>
      <c r="P61" s="1">
        <v>28</v>
      </c>
      <c r="Q61" s="1">
        <v>212</v>
      </c>
      <c r="R61" s="1">
        <v>0</v>
      </c>
      <c r="S61" s="1">
        <v>0</v>
      </c>
      <c r="T61" s="1">
        <v>0</v>
      </c>
      <c r="U61" s="1">
        <v>117</v>
      </c>
      <c r="V61" s="1">
        <v>0</v>
      </c>
      <c r="W61" s="1">
        <v>304</v>
      </c>
      <c r="X61" s="1">
        <v>90</v>
      </c>
      <c r="Y61" s="1">
        <v>572</v>
      </c>
      <c r="Z61" s="1">
        <v>79</v>
      </c>
      <c r="AA61" s="1">
        <v>19</v>
      </c>
      <c r="AB61" s="1">
        <v>61</v>
      </c>
      <c r="AC61" s="1">
        <v>173</v>
      </c>
      <c r="AD61" s="1">
        <v>0</v>
      </c>
      <c r="AE61" s="1">
        <v>308</v>
      </c>
      <c r="AF61" s="1">
        <v>99</v>
      </c>
      <c r="AG61" s="1">
        <v>641</v>
      </c>
      <c r="AH61" s="1">
        <v>0</v>
      </c>
      <c r="AI61" s="1">
        <v>183</v>
      </c>
      <c r="AJ61" s="1">
        <v>180</v>
      </c>
      <c r="AK61" s="1">
        <v>258</v>
      </c>
      <c r="AL61" s="1">
        <v>0</v>
      </c>
      <c r="AM61" s="1">
        <v>593</v>
      </c>
      <c r="AN61" s="1">
        <v>0</v>
      </c>
      <c r="AO61" s="1">
        <v>648</v>
      </c>
      <c r="AP61" s="1">
        <v>0</v>
      </c>
      <c r="AQ61" s="1">
        <v>155</v>
      </c>
      <c r="AR61" s="1">
        <v>0</v>
      </c>
      <c r="AS61" s="1">
        <v>472</v>
      </c>
      <c r="AT61" s="1">
        <v>0</v>
      </c>
      <c r="AU61" s="1">
        <v>2351</v>
      </c>
      <c r="AV61" s="1">
        <v>0</v>
      </c>
      <c r="AW61" s="1">
        <v>293</v>
      </c>
      <c r="AX61" s="1">
        <v>0</v>
      </c>
      <c r="AY61" s="1">
        <v>1820</v>
      </c>
      <c r="AZ61" s="1">
        <v>0</v>
      </c>
      <c r="BA61" s="1">
        <v>334</v>
      </c>
    </row>
    <row r="62" spans="1:53">
      <c r="A62" s="19">
        <v>19010</v>
      </c>
      <c r="B62" s="1">
        <v>2024</v>
      </c>
      <c r="C62" s="1">
        <v>21985</v>
      </c>
      <c r="D62" s="1">
        <v>0</v>
      </c>
      <c r="E62" s="1">
        <v>0</v>
      </c>
      <c r="F62" s="1">
        <v>321</v>
      </c>
      <c r="G62" s="1">
        <v>219</v>
      </c>
      <c r="H62" s="1">
        <v>2410</v>
      </c>
      <c r="I62" s="1">
        <v>2358</v>
      </c>
      <c r="J62" s="1">
        <v>1021</v>
      </c>
      <c r="K62" s="1">
        <v>42</v>
      </c>
      <c r="L62" s="1">
        <v>0</v>
      </c>
      <c r="M62" s="1">
        <v>8</v>
      </c>
      <c r="N62" s="1">
        <v>49</v>
      </c>
      <c r="O62" s="1">
        <v>45</v>
      </c>
      <c r="P62" s="1">
        <v>14</v>
      </c>
      <c r="Q62" s="1">
        <v>90</v>
      </c>
      <c r="R62" s="1">
        <v>6</v>
      </c>
      <c r="S62" s="1">
        <v>245</v>
      </c>
      <c r="T62" s="1">
        <v>0</v>
      </c>
      <c r="U62" s="1">
        <v>153</v>
      </c>
      <c r="V62" s="1">
        <v>2</v>
      </c>
      <c r="W62" s="1">
        <v>835</v>
      </c>
      <c r="X62" s="1">
        <v>4</v>
      </c>
      <c r="Y62" s="1">
        <v>1804</v>
      </c>
      <c r="Z62" s="1">
        <v>26</v>
      </c>
      <c r="AA62" s="1">
        <v>228</v>
      </c>
      <c r="AB62" s="1">
        <v>50</v>
      </c>
      <c r="AC62" s="1">
        <v>69</v>
      </c>
      <c r="AD62" s="1">
        <v>0</v>
      </c>
      <c r="AE62" s="1">
        <v>715</v>
      </c>
      <c r="AF62" s="1">
        <v>0</v>
      </c>
      <c r="AG62" s="1">
        <v>465</v>
      </c>
      <c r="AH62" s="1">
        <v>0</v>
      </c>
      <c r="AI62" s="1">
        <v>147</v>
      </c>
      <c r="AJ62" s="1">
        <v>6</v>
      </c>
      <c r="AK62" s="1">
        <v>558</v>
      </c>
      <c r="AL62" s="1">
        <v>0</v>
      </c>
      <c r="AM62" s="1">
        <v>253</v>
      </c>
      <c r="AN62" s="1">
        <v>0</v>
      </c>
      <c r="AO62" s="1">
        <v>0</v>
      </c>
      <c r="AP62" s="1">
        <v>0</v>
      </c>
      <c r="AQ62" s="1">
        <v>461</v>
      </c>
      <c r="AR62" s="1">
        <v>0</v>
      </c>
      <c r="AS62" s="1">
        <v>2461</v>
      </c>
      <c r="AT62" s="1">
        <v>31</v>
      </c>
      <c r="AU62" s="1">
        <v>2924</v>
      </c>
      <c r="AV62" s="1">
        <v>0</v>
      </c>
      <c r="AW62" s="1">
        <v>1192</v>
      </c>
      <c r="AX62" s="1">
        <v>0</v>
      </c>
      <c r="AY62" s="1">
        <v>2518</v>
      </c>
      <c r="AZ62" s="1">
        <v>0</v>
      </c>
      <c r="BA62" s="1">
        <v>255</v>
      </c>
    </row>
    <row r="63" spans="1:53">
      <c r="A63" s="19">
        <v>20001</v>
      </c>
      <c r="B63" s="1">
        <v>2024</v>
      </c>
      <c r="C63" s="1">
        <v>13925</v>
      </c>
      <c r="D63" s="1">
        <v>0</v>
      </c>
      <c r="E63" s="1">
        <v>0</v>
      </c>
      <c r="F63" s="1">
        <v>82</v>
      </c>
      <c r="G63" s="1">
        <v>205</v>
      </c>
      <c r="H63" s="1">
        <v>999</v>
      </c>
      <c r="I63" s="1">
        <v>1315</v>
      </c>
      <c r="J63" s="1">
        <v>893</v>
      </c>
      <c r="K63" s="1">
        <v>311</v>
      </c>
      <c r="L63" s="1">
        <v>0</v>
      </c>
      <c r="M63" s="1">
        <v>0</v>
      </c>
      <c r="N63" s="1">
        <v>0</v>
      </c>
      <c r="O63" s="1">
        <v>95</v>
      </c>
      <c r="P63" s="1">
        <v>0</v>
      </c>
      <c r="Q63" s="1">
        <v>6</v>
      </c>
      <c r="R63" s="1">
        <v>0</v>
      </c>
      <c r="S63" s="1">
        <v>51</v>
      </c>
      <c r="T63" s="1">
        <v>0</v>
      </c>
      <c r="U63" s="1">
        <v>0</v>
      </c>
      <c r="V63" s="1">
        <v>0</v>
      </c>
      <c r="W63" s="1">
        <v>183</v>
      </c>
      <c r="X63" s="1">
        <v>0</v>
      </c>
      <c r="Y63" s="1">
        <v>647</v>
      </c>
      <c r="Z63" s="1">
        <v>0</v>
      </c>
      <c r="AA63" s="1">
        <v>122</v>
      </c>
      <c r="AB63" s="1">
        <v>0</v>
      </c>
      <c r="AC63" s="1">
        <v>482</v>
      </c>
      <c r="AD63" s="1">
        <v>0</v>
      </c>
      <c r="AE63" s="1">
        <v>402</v>
      </c>
      <c r="AF63" s="1">
        <v>33</v>
      </c>
      <c r="AG63" s="1">
        <v>525</v>
      </c>
      <c r="AH63" s="1">
        <v>0</v>
      </c>
      <c r="AI63" s="1">
        <v>221</v>
      </c>
      <c r="AJ63" s="1">
        <v>0</v>
      </c>
      <c r="AK63" s="1">
        <v>30</v>
      </c>
      <c r="AL63" s="1">
        <v>0</v>
      </c>
      <c r="AM63" s="1">
        <v>327</v>
      </c>
      <c r="AN63" s="1">
        <v>0</v>
      </c>
      <c r="AO63" s="1">
        <v>152</v>
      </c>
      <c r="AP63" s="1">
        <v>0</v>
      </c>
      <c r="AQ63" s="1">
        <v>948</v>
      </c>
      <c r="AR63" s="1">
        <v>0</v>
      </c>
      <c r="AS63" s="1">
        <v>1212</v>
      </c>
      <c r="AT63" s="1">
        <v>0</v>
      </c>
      <c r="AU63" s="1">
        <v>2109</v>
      </c>
      <c r="AV63" s="1">
        <v>0</v>
      </c>
      <c r="AW63" s="1">
        <v>641</v>
      </c>
      <c r="AX63" s="1">
        <v>0</v>
      </c>
      <c r="AY63" s="1">
        <v>1934</v>
      </c>
      <c r="AZ63" s="1">
        <v>0</v>
      </c>
      <c r="BA63" s="1">
        <v>0</v>
      </c>
    </row>
    <row r="64" spans="1:53">
      <c r="A64" s="19">
        <v>20002</v>
      </c>
      <c r="B64" s="1">
        <v>2024</v>
      </c>
      <c r="C64" s="1">
        <v>10800</v>
      </c>
      <c r="D64" s="1">
        <v>0</v>
      </c>
      <c r="E64" s="1">
        <v>0</v>
      </c>
      <c r="F64" s="1">
        <v>6</v>
      </c>
      <c r="G64" s="1">
        <v>10</v>
      </c>
      <c r="H64" s="1">
        <v>615</v>
      </c>
      <c r="I64" s="1">
        <v>1038</v>
      </c>
      <c r="J64" s="1">
        <v>620</v>
      </c>
      <c r="K64" s="1">
        <v>86</v>
      </c>
      <c r="L64" s="1">
        <v>0</v>
      </c>
      <c r="M64" s="1">
        <v>0</v>
      </c>
      <c r="N64" s="1">
        <v>6</v>
      </c>
      <c r="O64" s="1">
        <v>1</v>
      </c>
      <c r="P64" s="1">
        <v>0</v>
      </c>
      <c r="Q64" s="1">
        <v>37</v>
      </c>
      <c r="R64" s="1">
        <v>0</v>
      </c>
      <c r="S64" s="1">
        <v>46</v>
      </c>
      <c r="T64" s="1">
        <v>0</v>
      </c>
      <c r="U64" s="1">
        <v>27</v>
      </c>
      <c r="V64" s="1">
        <v>0</v>
      </c>
      <c r="W64" s="1">
        <v>366</v>
      </c>
      <c r="X64" s="1">
        <v>0</v>
      </c>
      <c r="Y64" s="1">
        <v>893</v>
      </c>
      <c r="Z64" s="1">
        <v>0</v>
      </c>
      <c r="AA64" s="1">
        <v>186</v>
      </c>
      <c r="AB64" s="1">
        <v>0</v>
      </c>
      <c r="AC64" s="1">
        <v>21</v>
      </c>
      <c r="AD64" s="1">
        <v>0</v>
      </c>
      <c r="AE64" s="1">
        <v>530</v>
      </c>
      <c r="AF64" s="1">
        <v>0</v>
      </c>
      <c r="AG64" s="1">
        <v>310</v>
      </c>
      <c r="AH64" s="1">
        <v>0</v>
      </c>
      <c r="AI64" s="1">
        <v>78</v>
      </c>
      <c r="AJ64" s="1">
        <v>0</v>
      </c>
      <c r="AK64" s="1">
        <v>385</v>
      </c>
      <c r="AL64" s="1">
        <v>0</v>
      </c>
      <c r="AM64" s="1">
        <v>533</v>
      </c>
      <c r="AN64" s="1">
        <v>0</v>
      </c>
      <c r="AO64" s="1">
        <v>841</v>
      </c>
      <c r="AP64" s="1">
        <v>0</v>
      </c>
      <c r="AQ64" s="1">
        <v>240</v>
      </c>
      <c r="AR64" s="1">
        <v>0</v>
      </c>
      <c r="AS64" s="1">
        <v>555</v>
      </c>
      <c r="AT64" s="1">
        <v>0</v>
      </c>
      <c r="AU64" s="1">
        <v>2419</v>
      </c>
      <c r="AV64" s="1">
        <v>0</v>
      </c>
      <c r="AW64" s="1">
        <v>845</v>
      </c>
      <c r="AX64" s="1">
        <v>0</v>
      </c>
      <c r="AY64" s="1">
        <v>106</v>
      </c>
      <c r="AZ64" s="1">
        <v>0</v>
      </c>
      <c r="BA64" s="1">
        <v>0</v>
      </c>
    </row>
    <row r="65" spans="1:103">
      <c r="A65" s="19">
        <v>21001</v>
      </c>
      <c r="B65" s="1">
        <v>2024</v>
      </c>
      <c r="C65" s="1">
        <v>22568</v>
      </c>
      <c r="D65" s="1">
        <v>0</v>
      </c>
      <c r="E65" s="1">
        <v>0</v>
      </c>
      <c r="F65" s="1">
        <v>108</v>
      </c>
      <c r="G65" s="1">
        <v>369</v>
      </c>
      <c r="H65" s="1">
        <v>2728</v>
      </c>
      <c r="I65" s="1">
        <v>2142</v>
      </c>
      <c r="J65" s="1">
        <v>1283</v>
      </c>
      <c r="K65" s="1">
        <v>225</v>
      </c>
      <c r="L65" s="1">
        <v>0</v>
      </c>
      <c r="M65" s="1">
        <v>66</v>
      </c>
      <c r="N65" s="1">
        <v>128</v>
      </c>
      <c r="O65" s="1">
        <v>428</v>
      </c>
      <c r="P65" s="1">
        <v>4</v>
      </c>
      <c r="Q65" s="1">
        <v>242</v>
      </c>
      <c r="R65" s="1">
        <v>0</v>
      </c>
      <c r="S65" s="1">
        <v>354</v>
      </c>
      <c r="T65" s="1">
        <v>0</v>
      </c>
      <c r="U65" s="1">
        <v>362</v>
      </c>
      <c r="V65" s="1">
        <v>0</v>
      </c>
      <c r="W65" s="1">
        <v>582</v>
      </c>
      <c r="X65" s="1">
        <v>89</v>
      </c>
      <c r="Y65" s="1">
        <v>1086</v>
      </c>
      <c r="Z65" s="1">
        <v>0</v>
      </c>
      <c r="AA65" s="1">
        <v>159</v>
      </c>
      <c r="AB65" s="1">
        <v>5</v>
      </c>
      <c r="AC65" s="1">
        <v>532</v>
      </c>
      <c r="AD65" s="1">
        <v>0</v>
      </c>
      <c r="AE65" s="1">
        <v>1021</v>
      </c>
      <c r="AF65" s="1">
        <v>97</v>
      </c>
      <c r="AG65" s="1">
        <v>961</v>
      </c>
      <c r="AH65" s="1">
        <v>52</v>
      </c>
      <c r="AI65" s="1">
        <v>168</v>
      </c>
      <c r="AJ65" s="1">
        <v>0</v>
      </c>
      <c r="AK65" s="1">
        <v>1034</v>
      </c>
      <c r="AL65" s="1">
        <v>0</v>
      </c>
      <c r="AM65" s="1">
        <v>366</v>
      </c>
      <c r="AN65" s="1">
        <v>0</v>
      </c>
      <c r="AO65" s="1">
        <v>497</v>
      </c>
      <c r="AP65" s="1">
        <v>0</v>
      </c>
      <c r="AQ65" s="1">
        <v>1649</v>
      </c>
      <c r="AR65" s="1">
        <v>0</v>
      </c>
      <c r="AS65" s="1">
        <v>739</v>
      </c>
      <c r="AT65" s="1">
        <v>0</v>
      </c>
      <c r="AU65" s="1">
        <v>2056</v>
      </c>
      <c r="AV65" s="1">
        <v>0</v>
      </c>
      <c r="AW65" s="1">
        <v>1476</v>
      </c>
      <c r="AX65" s="1">
        <v>0</v>
      </c>
      <c r="AY65" s="1">
        <v>1560</v>
      </c>
      <c r="AZ65" s="1">
        <v>0</v>
      </c>
      <c r="BA65" s="1">
        <v>0</v>
      </c>
    </row>
    <row r="66" spans="1:103">
      <c r="A66" s="19">
        <v>21002</v>
      </c>
      <c r="B66" s="1">
        <v>2024</v>
      </c>
      <c r="C66" s="1">
        <v>7851</v>
      </c>
      <c r="D66" s="1">
        <v>0</v>
      </c>
      <c r="E66" s="1">
        <v>0</v>
      </c>
      <c r="F66" s="1">
        <v>29</v>
      </c>
      <c r="G66" s="1">
        <v>6</v>
      </c>
      <c r="H66" s="1">
        <v>179</v>
      </c>
      <c r="I66" s="1">
        <v>284</v>
      </c>
      <c r="J66" s="1">
        <v>102</v>
      </c>
      <c r="K66" s="1">
        <v>28</v>
      </c>
      <c r="L66" s="1">
        <v>0</v>
      </c>
      <c r="M66" s="1">
        <v>0</v>
      </c>
      <c r="N66" s="1">
        <v>43</v>
      </c>
      <c r="O66" s="1">
        <v>161</v>
      </c>
      <c r="P66" s="1">
        <v>2</v>
      </c>
      <c r="Q66" s="1">
        <v>189</v>
      </c>
      <c r="R66" s="1">
        <v>161</v>
      </c>
      <c r="S66" s="1">
        <v>545</v>
      </c>
      <c r="T66" s="1">
        <v>0</v>
      </c>
      <c r="U66" s="1">
        <v>0</v>
      </c>
      <c r="V66" s="1">
        <v>0</v>
      </c>
      <c r="W66" s="1">
        <v>194</v>
      </c>
      <c r="X66" s="1">
        <v>0</v>
      </c>
      <c r="Y66" s="1">
        <v>181</v>
      </c>
      <c r="Z66" s="1">
        <v>0</v>
      </c>
      <c r="AA66" s="1">
        <v>43</v>
      </c>
      <c r="AB66" s="1">
        <v>0</v>
      </c>
      <c r="AC66" s="1">
        <v>103</v>
      </c>
      <c r="AD66" s="1">
        <v>0</v>
      </c>
      <c r="AE66" s="1">
        <v>478</v>
      </c>
      <c r="AF66" s="1">
        <v>0</v>
      </c>
      <c r="AG66" s="1">
        <v>424</v>
      </c>
      <c r="AH66" s="1">
        <v>0</v>
      </c>
      <c r="AI66" s="1">
        <v>7</v>
      </c>
      <c r="AJ66" s="1">
        <v>0</v>
      </c>
      <c r="AK66" s="1">
        <v>263</v>
      </c>
      <c r="AL66" s="1">
        <v>0</v>
      </c>
      <c r="AM66" s="1">
        <v>274</v>
      </c>
      <c r="AN66" s="1">
        <v>0</v>
      </c>
      <c r="AO66" s="1">
        <v>90</v>
      </c>
      <c r="AP66" s="1">
        <v>0</v>
      </c>
      <c r="AQ66" s="1">
        <v>669</v>
      </c>
      <c r="AR66" s="1">
        <v>0</v>
      </c>
      <c r="AS66" s="1">
        <v>386</v>
      </c>
      <c r="AT66" s="1">
        <v>0</v>
      </c>
      <c r="AU66" s="1">
        <v>930</v>
      </c>
      <c r="AV66" s="1">
        <v>0</v>
      </c>
      <c r="AW66" s="1">
        <v>743</v>
      </c>
      <c r="AX66" s="1">
        <v>0</v>
      </c>
      <c r="AY66" s="1">
        <v>1337</v>
      </c>
      <c r="AZ66" s="1">
        <v>0</v>
      </c>
      <c r="BA66" s="1">
        <v>0</v>
      </c>
    </row>
    <row r="67" spans="1:103">
      <c r="A67" s="19">
        <v>21003</v>
      </c>
      <c r="B67" s="1">
        <v>2024</v>
      </c>
      <c r="C67" s="1">
        <v>24964</v>
      </c>
      <c r="D67" s="1">
        <v>0</v>
      </c>
      <c r="E67" s="1">
        <v>0</v>
      </c>
      <c r="F67" s="1">
        <v>307</v>
      </c>
      <c r="G67" s="1">
        <v>33</v>
      </c>
      <c r="H67" s="1">
        <v>1029</v>
      </c>
      <c r="I67" s="1">
        <v>2392</v>
      </c>
      <c r="J67" s="1">
        <v>631</v>
      </c>
      <c r="K67" s="1">
        <v>721</v>
      </c>
      <c r="L67" s="1">
        <v>0</v>
      </c>
      <c r="M67" s="1">
        <v>165</v>
      </c>
      <c r="N67" s="1">
        <v>42</v>
      </c>
      <c r="O67" s="1">
        <v>418</v>
      </c>
      <c r="P67" s="1">
        <v>94</v>
      </c>
      <c r="Q67" s="1">
        <v>1454</v>
      </c>
      <c r="R67" s="1">
        <v>0</v>
      </c>
      <c r="S67" s="1">
        <v>794</v>
      </c>
      <c r="T67" s="1">
        <v>0</v>
      </c>
      <c r="U67" s="1">
        <v>1202</v>
      </c>
      <c r="V67" s="1">
        <v>4</v>
      </c>
      <c r="W67" s="1">
        <v>875</v>
      </c>
      <c r="X67" s="1">
        <v>9</v>
      </c>
      <c r="Y67" s="1">
        <v>956</v>
      </c>
      <c r="Z67" s="1">
        <v>26</v>
      </c>
      <c r="AA67" s="1">
        <v>72</v>
      </c>
      <c r="AB67" s="1">
        <v>0</v>
      </c>
      <c r="AC67" s="1">
        <v>554</v>
      </c>
      <c r="AD67" s="1">
        <v>0</v>
      </c>
      <c r="AE67" s="1">
        <v>364</v>
      </c>
      <c r="AF67" s="1">
        <v>0</v>
      </c>
      <c r="AG67" s="1">
        <v>975</v>
      </c>
      <c r="AH67" s="1">
        <v>0</v>
      </c>
      <c r="AI67" s="1">
        <v>29</v>
      </c>
      <c r="AJ67" s="1">
        <v>0</v>
      </c>
      <c r="AK67" s="1">
        <v>1768</v>
      </c>
      <c r="AL67" s="1">
        <v>0</v>
      </c>
      <c r="AM67" s="1">
        <v>428</v>
      </c>
      <c r="AN67" s="1">
        <v>0</v>
      </c>
      <c r="AO67" s="1">
        <v>616</v>
      </c>
      <c r="AP67" s="1">
        <v>0</v>
      </c>
      <c r="AQ67" s="1">
        <v>251</v>
      </c>
      <c r="AR67" s="1">
        <v>0</v>
      </c>
      <c r="AS67" s="1">
        <v>1209</v>
      </c>
      <c r="AT67" s="1">
        <v>0</v>
      </c>
      <c r="AU67" s="1">
        <v>3831</v>
      </c>
      <c r="AV67" s="1">
        <v>0</v>
      </c>
      <c r="AW67" s="1">
        <v>898</v>
      </c>
      <c r="AX67" s="1">
        <v>0</v>
      </c>
      <c r="AY67" s="1">
        <v>2817</v>
      </c>
      <c r="AZ67" s="1">
        <v>0</v>
      </c>
      <c r="BA67" s="1">
        <v>0</v>
      </c>
    </row>
    <row r="68" spans="1:103">
      <c r="A68" s="19">
        <v>21004</v>
      </c>
      <c r="B68" s="1">
        <v>2024</v>
      </c>
      <c r="C68" s="1">
        <v>9913</v>
      </c>
      <c r="D68" s="1">
        <v>0</v>
      </c>
      <c r="E68" s="1">
        <v>0</v>
      </c>
      <c r="F68" s="1">
        <v>120</v>
      </c>
      <c r="G68" s="1">
        <v>267</v>
      </c>
      <c r="H68" s="1">
        <v>650</v>
      </c>
      <c r="I68" s="1">
        <v>755</v>
      </c>
      <c r="J68" s="1">
        <v>308</v>
      </c>
      <c r="K68" s="1">
        <v>318</v>
      </c>
      <c r="L68" s="1">
        <v>0</v>
      </c>
      <c r="M68" s="1">
        <v>0</v>
      </c>
      <c r="N68" s="1">
        <v>57</v>
      </c>
      <c r="O68" s="1">
        <v>4</v>
      </c>
      <c r="P68" s="1">
        <v>0</v>
      </c>
      <c r="Q68" s="1">
        <v>134</v>
      </c>
      <c r="R68" s="1">
        <v>0</v>
      </c>
      <c r="S68" s="1">
        <v>201</v>
      </c>
      <c r="T68" s="1">
        <v>0</v>
      </c>
      <c r="U68" s="1">
        <v>142</v>
      </c>
      <c r="V68" s="1">
        <v>0</v>
      </c>
      <c r="W68" s="1">
        <v>402</v>
      </c>
      <c r="X68" s="1">
        <v>0</v>
      </c>
      <c r="Y68" s="1">
        <v>252</v>
      </c>
      <c r="Z68" s="1">
        <v>0</v>
      </c>
      <c r="AA68" s="1">
        <v>83</v>
      </c>
      <c r="AB68" s="1">
        <v>0</v>
      </c>
      <c r="AC68" s="1">
        <v>2</v>
      </c>
      <c r="AD68" s="1">
        <v>0</v>
      </c>
      <c r="AE68" s="1">
        <v>57</v>
      </c>
      <c r="AF68" s="1">
        <v>0</v>
      </c>
      <c r="AG68" s="1">
        <v>260</v>
      </c>
      <c r="AH68" s="1">
        <v>84</v>
      </c>
      <c r="AI68" s="1">
        <v>0</v>
      </c>
      <c r="AJ68" s="1">
        <v>0</v>
      </c>
      <c r="AK68" s="1">
        <v>438</v>
      </c>
      <c r="AL68" s="1">
        <v>0</v>
      </c>
      <c r="AM68" s="1">
        <v>317</v>
      </c>
      <c r="AN68" s="1">
        <v>0</v>
      </c>
      <c r="AO68" s="1">
        <v>0</v>
      </c>
      <c r="AP68" s="1">
        <v>0</v>
      </c>
      <c r="AQ68" s="1">
        <v>543</v>
      </c>
      <c r="AR68" s="1">
        <v>0</v>
      </c>
      <c r="AS68" s="1">
        <v>569</v>
      </c>
      <c r="AT68" s="1">
        <v>0</v>
      </c>
      <c r="AU68" s="1">
        <v>2768</v>
      </c>
      <c r="AV68" s="1">
        <v>0</v>
      </c>
      <c r="AW68" s="1">
        <v>885</v>
      </c>
      <c r="AX68" s="1">
        <v>0</v>
      </c>
      <c r="AY68" s="1">
        <v>297</v>
      </c>
      <c r="AZ68" s="1">
        <v>0</v>
      </c>
      <c r="BA68" s="1">
        <v>0</v>
      </c>
    </row>
    <row r="69" spans="1:103">
      <c r="A69" s="19">
        <v>22001</v>
      </c>
      <c r="B69" s="1">
        <v>2024</v>
      </c>
      <c r="C69" s="1">
        <v>19964</v>
      </c>
      <c r="D69" s="1">
        <v>0</v>
      </c>
      <c r="E69" s="1">
        <v>0</v>
      </c>
      <c r="F69" s="1">
        <v>0</v>
      </c>
      <c r="G69" s="1">
        <v>0</v>
      </c>
      <c r="H69" s="1">
        <v>765</v>
      </c>
      <c r="I69" s="1">
        <v>1451</v>
      </c>
      <c r="J69" s="1">
        <v>469</v>
      </c>
      <c r="K69" s="1">
        <v>16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250</v>
      </c>
      <c r="R69" s="1">
        <v>0</v>
      </c>
      <c r="S69" s="1">
        <v>445</v>
      </c>
      <c r="T69" s="1">
        <v>92</v>
      </c>
      <c r="U69" s="1">
        <v>252</v>
      </c>
      <c r="V69" s="1">
        <v>0</v>
      </c>
      <c r="W69" s="1">
        <v>114</v>
      </c>
      <c r="X69" s="1">
        <v>0</v>
      </c>
      <c r="Y69" s="1">
        <v>1347</v>
      </c>
      <c r="Z69" s="1">
        <v>0</v>
      </c>
      <c r="AA69" s="1">
        <v>0</v>
      </c>
      <c r="AB69" s="1">
        <v>0</v>
      </c>
      <c r="AC69" s="1">
        <v>140</v>
      </c>
      <c r="AD69" s="1">
        <v>0</v>
      </c>
      <c r="AE69" s="1">
        <v>69</v>
      </c>
      <c r="AF69" s="1">
        <v>149</v>
      </c>
      <c r="AG69" s="1">
        <v>786</v>
      </c>
      <c r="AH69" s="1">
        <v>0</v>
      </c>
      <c r="AI69" s="1">
        <v>41</v>
      </c>
      <c r="AJ69" s="1">
        <v>275</v>
      </c>
      <c r="AK69" s="1">
        <v>392</v>
      </c>
      <c r="AL69" s="1">
        <v>0</v>
      </c>
      <c r="AM69" s="1">
        <v>853</v>
      </c>
      <c r="AN69" s="1">
        <v>0</v>
      </c>
      <c r="AO69" s="1">
        <v>965</v>
      </c>
      <c r="AP69" s="1">
        <v>0</v>
      </c>
      <c r="AQ69" s="1">
        <v>660</v>
      </c>
      <c r="AR69" s="1">
        <v>0</v>
      </c>
      <c r="AS69" s="1">
        <v>1091</v>
      </c>
      <c r="AT69" s="1">
        <v>0</v>
      </c>
      <c r="AU69" s="1">
        <v>4918</v>
      </c>
      <c r="AV69" s="1">
        <v>0</v>
      </c>
      <c r="AW69" s="1">
        <v>1824</v>
      </c>
      <c r="AX69" s="1">
        <v>0</v>
      </c>
      <c r="AY69" s="1">
        <v>2600</v>
      </c>
      <c r="AZ69" s="1">
        <v>0</v>
      </c>
      <c r="BA69" s="1">
        <v>0</v>
      </c>
    </row>
    <row r="70" spans="1:103">
      <c r="A70" s="19">
        <v>22003</v>
      </c>
      <c r="B70" s="1">
        <v>2024</v>
      </c>
      <c r="C70" s="1">
        <v>8854</v>
      </c>
      <c r="D70" s="1">
        <v>0</v>
      </c>
      <c r="E70" s="1">
        <v>0</v>
      </c>
      <c r="F70" s="1">
        <v>360</v>
      </c>
      <c r="G70" s="1">
        <v>41</v>
      </c>
      <c r="H70" s="1">
        <v>385</v>
      </c>
      <c r="I70" s="1">
        <v>620</v>
      </c>
      <c r="J70" s="1">
        <v>18</v>
      </c>
      <c r="K70" s="1">
        <v>29</v>
      </c>
      <c r="L70" s="1">
        <v>0</v>
      </c>
      <c r="M70" s="1">
        <v>0</v>
      </c>
      <c r="N70" s="1">
        <v>0</v>
      </c>
      <c r="O70" s="1">
        <v>6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74</v>
      </c>
      <c r="V70" s="1">
        <v>0</v>
      </c>
      <c r="W70" s="1">
        <v>350</v>
      </c>
      <c r="X70" s="1">
        <v>0</v>
      </c>
      <c r="Y70" s="1">
        <v>127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638</v>
      </c>
      <c r="AF70" s="1">
        <v>0</v>
      </c>
      <c r="AG70" s="1">
        <v>620</v>
      </c>
      <c r="AH70" s="1">
        <v>0</v>
      </c>
      <c r="AI70" s="1">
        <v>33</v>
      </c>
      <c r="AJ70" s="1">
        <v>0</v>
      </c>
      <c r="AK70" s="1">
        <v>196</v>
      </c>
      <c r="AL70" s="1">
        <v>0</v>
      </c>
      <c r="AM70" s="1">
        <v>109</v>
      </c>
      <c r="AN70" s="1">
        <v>0</v>
      </c>
      <c r="AO70" s="1">
        <v>905</v>
      </c>
      <c r="AP70" s="1">
        <v>0</v>
      </c>
      <c r="AQ70" s="1">
        <v>0</v>
      </c>
      <c r="AR70" s="1">
        <v>0</v>
      </c>
      <c r="AS70" s="1">
        <v>225</v>
      </c>
      <c r="AT70" s="1">
        <v>0</v>
      </c>
      <c r="AU70" s="1">
        <v>2565</v>
      </c>
      <c r="AV70" s="1">
        <v>0</v>
      </c>
      <c r="AW70" s="1">
        <v>600</v>
      </c>
      <c r="AX70" s="1">
        <v>0</v>
      </c>
      <c r="AY70" s="1">
        <v>953</v>
      </c>
      <c r="AZ70" s="1">
        <v>0</v>
      </c>
      <c r="BA70" s="1">
        <v>0</v>
      </c>
    </row>
    <row r="71" spans="1:103">
      <c r="A71" s="19">
        <v>23001</v>
      </c>
      <c r="B71" s="1">
        <v>2024</v>
      </c>
      <c r="C71" s="1">
        <v>11148</v>
      </c>
      <c r="D71" s="1">
        <v>0</v>
      </c>
      <c r="E71" s="1">
        <v>0</v>
      </c>
      <c r="F71" s="1">
        <v>0</v>
      </c>
      <c r="G71" s="1">
        <v>16</v>
      </c>
      <c r="H71" s="1">
        <v>132</v>
      </c>
      <c r="I71" s="1">
        <v>312</v>
      </c>
      <c r="J71" s="1">
        <v>423</v>
      </c>
      <c r="K71" s="1">
        <v>177</v>
      </c>
      <c r="L71" s="1">
        <v>0</v>
      </c>
      <c r="M71" s="1">
        <v>275</v>
      </c>
      <c r="N71" s="1">
        <v>32</v>
      </c>
      <c r="O71" s="1">
        <v>91</v>
      </c>
      <c r="P71" s="1">
        <v>39</v>
      </c>
      <c r="Q71" s="1">
        <v>36</v>
      </c>
      <c r="R71" s="1">
        <v>0</v>
      </c>
      <c r="S71" s="1">
        <v>55</v>
      </c>
      <c r="T71" s="1">
        <v>120</v>
      </c>
      <c r="U71" s="1">
        <v>97</v>
      </c>
      <c r="V71" s="1">
        <v>148</v>
      </c>
      <c r="W71" s="1">
        <v>409</v>
      </c>
      <c r="X71" s="1">
        <v>292</v>
      </c>
      <c r="Y71" s="1">
        <v>558</v>
      </c>
      <c r="Z71" s="1">
        <v>31</v>
      </c>
      <c r="AA71" s="1">
        <v>123</v>
      </c>
      <c r="AB71" s="1">
        <v>0</v>
      </c>
      <c r="AC71" s="1">
        <v>0</v>
      </c>
      <c r="AD71" s="1">
        <v>125</v>
      </c>
      <c r="AE71" s="1">
        <v>0</v>
      </c>
      <c r="AF71" s="1">
        <v>0</v>
      </c>
      <c r="AG71" s="1">
        <v>182</v>
      </c>
      <c r="AH71" s="1">
        <v>4</v>
      </c>
      <c r="AI71" s="1">
        <v>296</v>
      </c>
      <c r="AJ71" s="1">
        <v>0</v>
      </c>
      <c r="AK71" s="1">
        <v>31</v>
      </c>
      <c r="AL71" s="1">
        <v>0</v>
      </c>
      <c r="AM71" s="1">
        <v>723</v>
      </c>
      <c r="AN71" s="1">
        <v>0</v>
      </c>
      <c r="AO71" s="1">
        <v>366</v>
      </c>
      <c r="AP71" s="1">
        <v>0</v>
      </c>
      <c r="AQ71" s="1">
        <v>102</v>
      </c>
      <c r="AR71" s="1">
        <v>0</v>
      </c>
      <c r="AS71" s="1">
        <v>558</v>
      </c>
      <c r="AT71" s="1">
        <v>0</v>
      </c>
      <c r="AU71" s="1">
        <v>2846</v>
      </c>
      <c r="AV71" s="1">
        <v>0</v>
      </c>
      <c r="AW71" s="1">
        <v>724</v>
      </c>
      <c r="AX71" s="1">
        <v>0</v>
      </c>
      <c r="AY71" s="1">
        <v>1572</v>
      </c>
      <c r="AZ71" s="1">
        <v>0</v>
      </c>
      <c r="BA71" s="1">
        <v>253</v>
      </c>
    </row>
    <row r="72" spans="1:103">
      <c r="A72" s="19">
        <v>23002</v>
      </c>
      <c r="B72" s="1">
        <v>2024</v>
      </c>
      <c r="C72" s="1">
        <v>25971</v>
      </c>
      <c r="D72" s="1">
        <v>0</v>
      </c>
      <c r="E72" s="1">
        <v>10</v>
      </c>
      <c r="F72" s="1">
        <v>74</v>
      </c>
      <c r="G72" s="1">
        <v>61</v>
      </c>
      <c r="H72" s="1">
        <v>1451</v>
      </c>
      <c r="I72" s="1">
        <v>752</v>
      </c>
      <c r="J72" s="1">
        <v>1979</v>
      </c>
      <c r="K72" s="1">
        <v>142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142</v>
      </c>
      <c r="R72" s="1">
        <v>0</v>
      </c>
      <c r="S72" s="1">
        <v>163</v>
      </c>
      <c r="T72" s="1">
        <v>0</v>
      </c>
      <c r="U72" s="1">
        <v>360</v>
      </c>
      <c r="V72" s="1">
        <v>0</v>
      </c>
      <c r="W72" s="1">
        <v>831</v>
      </c>
      <c r="X72" s="1">
        <v>0</v>
      </c>
      <c r="Y72" s="1">
        <v>916</v>
      </c>
      <c r="Z72" s="1">
        <v>0</v>
      </c>
      <c r="AA72" s="1">
        <v>350</v>
      </c>
      <c r="AB72" s="1">
        <v>0</v>
      </c>
      <c r="AC72" s="1">
        <v>214</v>
      </c>
      <c r="AD72" s="1">
        <v>0</v>
      </c>
      <c r="AE72" s="1">
        <v>1292</v>
      </c>
      <c r="AF72" s="1">
        <v>0</v>
      </c>
      <c r="AG72" s="1">
        <v>1348</v>
      </c>
      <c r="AH72" s="1">
        <v>67</v>
      </c>
      <c r="AI72" s="1">
        <v>985</v>
      </c>
      <c r="AJ72" s="1">
        <v>0</v>
      </c>
      <c r="AK72" s="1">
        <v>474</v>
      </c>
      <c r="AL72" s="1">
        <v>92</v>
      </c>
      <c r="AM72" s="1">
        <v>2509</v>
      </c>
      <c r="AN72" s="1">
        <v>0</v>
      </c>
      <c r="AO72" s="1">
        <v>826</v>
      </c>
      <c r="AP72" s="1">
        <v>0</v>
      </c>
      <c r="AQ72" s="1">
        <v>507</v>
      </c>
      <c r="AR72" s="1">
        <v>0</v>
      </c>
      <c r="AS72" s="1">
        <v>2706</v>
      </c>
      <c r="AT72" s="1">
        <v>362</v>
      </c>
      <c r="AU72" s="1">
        <v>1820</v>
      </c>
      <c r="AV72" s="1">
        <v>474</v>
      </c>
      <c r="AW72" s="1">
        <v>3938</v>
      </c>
      <c r="AX72" s="1">
        <v>7</v>
      </c>
      <c r="AY72" s="1">
        <v>878</v>
      </c>
      <c r="AZ72" s="1">
        <v>0</v>
      </c>
      <c r="BA72" s="1">
        <v>241</v>
      </c>
    </row>
    <row r="73" spans="1:103">
      <c r="A73" s="19">
        <v>23003</v>
      </c>
      <c r="B73" s="1">
        <v>2024</v>
      </c>
      <c r="C73" s="1">
        <v>17036</v>
      </c>
      <c r="D73" s="1">
        <v>0</v>
      </c>
      <c r="E73" s="1">
        <v>0</v>
      </c>
      <c r="F73" s="1">
        <v>85</v>
      </c>
      <c r="G73" s="1">
        <v>48</v>
      </c>
      <c r="H73" s="1">
        <v>601</v>
      </c>
      <c r="I73" s="1">
        <v>1098</v>
      </c>
      <c r="J73" s="1">
        <v>273</v>
      </c>
      <c r="K73" s="1">
        <v>94</v>
      </c>
      <c r="L73" s="1">
        <v>0</v>
      </c>
      <c r="M73" s="1">
        <v>106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540</v>
      </c>
      <c r="V73" s="1">
        <v>0</v>
      </c>
      <c r="W73" s="1">
        <v>577</v>
      </c>
      <c r="X73" s="1">
        <v>207</v>
      </c>
      <c r="Y73" s="1">
        <v>1174</v>
      </c>
      <c r="Z73" s="1">
        <v>0</v>
      </c>
      <c r="AA73" s="1">
        <v>88</v>
      </c>
      <c r="AB73" s="1">
        <v>0</v>
      </c>
      <c r="AC73" s="1">
        <v>278</v>
      </c>
      <c r="AD73" s="1">
        <v>89</v>
      </c>
      <c r="AE73" s="1">
        <v>244</v>
      </c>
      <c r="AF73" s="1">
        <v>0</v>
      </c>
      <c r="AG73" s="1">
        <v>1051</v>
      </c>
      <c r="AH73" s="1">
        <v>0</v>
      </c>
      <c r="AI73" s="1">
        <v>124</v>
      </c>
      <c r="AJ73" s="1">
        <v>0</v>
      </c>
      <c r="AK73" s="1">
        <v>446</v>
      </c>
      <c r="AL73" s="1">
        <v>0</v>
      </c>
      <c r="AM73" s="1">
        <v>680</v>
      </c>
      <c r="AN73" s="1">
        <v>0</v>
      </c>
      <c r="AO73" s="1">
        <v>174</v>
      </c>
      <c r="AP73" s="1">
        <v>0</v>
      </c>
      <c r="AQ73" s="1">
        <v>293</v>
      </c>
      <c r="AR73" s="1">
        <v>0</v>
      </c>
      <c r="AS73" s="1">
        <v>1080</v>
      </c>
      <c r="AT73" s="1">
        <v>0</v>
      </c>
      <c r="AU73" s="1">
        <v>4346</v>
      </c>
      <c r="AV73" s="1">
        <v>0</v>
      </c>
      <c r="AW73" s="1">
        <v>380</v>
      </c>
      <c r="AX73" s="1">
        <v>0</v>
      </c>
      <c r="AY73" s="1">
        <v>2960</v>
      </c>
      <c r="AZ73" s="1">
        <v>0</v>
      </c>
      <c r="BA73" s="1">
        <v>0</v>
      </c>
    </row>
    <row r="74" spans="1:103">
      <c r="A74" s="19">
        <v>23004</v>
      </c>
      <c r="B74" s="1">
        <v>2024</v>
      </c>
      <c r="C74" s="1">
        <v>15459</v>
      </c>
      <c r="D74" s="1">
        <v>0</v>
      </c>
      <c r="E74" s="1">
        <v>0</v>
      </c>
      <c r="F74" s="1">
        <v>0</v>
      </c>
      <c r="G74" s="1">
        <v>0</v>
      </c>
      <c r="H74" s="1">
        <v>595</v>
      </c>
      <c r="I74" s="1">
        <v>384</v>
      </c>
      <c r="J74" s="1">
        <v>613</v>
      </c>
      <c r="K74" s="1">
        <v>296</v>
      </c>
      <c r="L74" s="1">
        <v>0</v>
      </c>
      <c r="M74" s="1">
        <v>0</v>
      </c>
      <c r="N74" s="1">
        <v>0</v>
      </c>
      <c r="O74" s="1">
        <v>145</v>
      </c>
      <c r="P74" s="1">
        <v>0</v>
      </c>
      <c r="Q74" s="1">
        <v>161</v>
      </c>
      <c r="R74" s="1">
        <v>0</v>
      </c>
      <c r="S74" s="1">
        <v>0</v>
      </c>
      <c r="T74" s="1">
        <v>0</v>
      </c>
      <c r="U74" s="1">
        <v>25</v>
      </c>
      <c r="V74" s="1">
        <v>0</v>
      </c>
      <c r="W74" s="1">
        <v>1079</v>
      </c>
      <c r="X74" s="1">
        <v>0</v>
      </c>
      <c r="Y74" s="1">
        <v>790</v>
      </c>
      <c r="Z74" s="1">
        <v>0</v>
      </c>
      <c r="AA74" s="1">
        <v>838</v>
      </c>
      <c r="AB74" s="1">
        <v>0</v>
      </c>
      <c r="AC74" s="1">
        <v>45</v>
      </c>
      <c r="AD74" s="1">
        <v>75</v>
      </c>
      <c r="AE74" s="1">
        <v>146</v>
      </c>
      <c r="AF74" s="1">
        <v>202</v>
      </c>
      <c r="AG74" s="1">
        <v>490</v>
      </c>
      <c r="AH74" s="1">
        <v>0</v>
      </c>
      <c r="AI74" s="1">
        <v>637</v>
      </c>
      <c r="AJ74" s="1">
        <v>35</v>
      </c>
      <c r="AK74" s="1">
        <v>134</v>
      </c>
      <c r="AL74" s="1">
        <v>0</v>
      </c>
      <c r="AM74" s="1">
        <v>1121</v>
      </c>
      <c r="AN74" s="1">
        <v>0</v>
      </c>
      <c r="AO74" s="1">
        <v>462</v>
      </c>
      <c r="AP74" s="1">
        <v>0</v>
      </c>
      <c r="AQ74" s="1">
        <v>422</v>
      </c>
      <c r="AR74" s="1">
        <v>0</v>
      </c>
      <c r="AS74" s="1">
        <v>1952</v>
      </c>
      <c r="AT74" s="1">
        <v>0</v>
      </c>
      <c r="AU74" s="1">
        <v>2729</v>
      </c>
      <c r="AV74" s="1">
        <v>0</v>
      </c>
      <c r="AW74" s="1">
        <v>931</v>
      </c>
      <c r="AX74" s="1">
        <v>0</v>
      </c>
      <c r="AY74" s="1">
        <v>1152</v>
      </c>
      <c r="AZ74" s="1">
        <v>0</v>
      </c>
      <c r="BA74" s="1">
        <v>0</v>
      </c>
    </row>
    <row r="75" spans="1:103">
      <c r="A75" s="19">
        <v>23005</v>
      </c>
      <c r="B75" s="1">
        <v>2024</v>
      </c>
      <c r="C75" s="1">
        <v>11027</v>
      </c>
      <c r="D75" s="1">
        <v>0</v>
      </c>
      <c r="E75" s="1">
        <v>0</v>
      </c>
      <c r="F75" s="1">
        <v>60</v>
      </c>
      <c r="G75" s="1">
        <v>134</v>
      </c>
      <c r="H75" s="1">
        <v>1519</v>
      </c>
      <c r="I75" s="1">
        <v>364</v>
      </c>
      <c r="J75" s="1">
        <v>550</v>
      </c>
      <c r="K75" s="1">
        <v>294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28</v>
      </c>
      <c r="T75" s="1">
        <v>0</v>
      </c>
      <c r="U75" s="1">
        <v>0</v>
      </c>
      <c r="V75" s="1">
        <v>168</v>
      </c>
      <c r="W75" s="1">
        <v>685</v>
      </c>
      <c r="X75" s="1">
        <v>66</v>
      </c>
      <c r="Y75" s="1">
        <v>374</v>
      </c>
      <c r="Z75" s="1">
        <v>0</v>
      </c>
      <c r="AA75" s="1">
        <v>97</v>
      </c>
      <c r="AB75" s="1">
        <v>0</v>
      </c>
      <c r="AC75" s="1">
        <v>0</v>
      </c>
      <c r="AD75" s="1">
        <v>77</v>
      </c>
      <c r="AE75" s="1">
        <v>501</v>
      </c>
      <c r="AF75" s="1">
        <v>0</v>
      </c>
      <c r="AG75" s="1">
        <v>90</v>
      </c>
      <c r="AH75" s="1">
        <v>164</v>
      </c>
      <c r="AI75" s="1">
        <v>193</v>
      </c>
      <c r="AJ75" s="1">
        <v>0</v>
      </c>
      <c r="AK75" s="1">
        <v>38</v>
      </c>
      <c r="AL75" s="1">
        <v>0</v>
      </c>
      <c r="AM75" s="1">
        <v>292</v>
      </c>
      <c r="AN75" s="1">
        <v>0</v>
      </c>
      <c r="AO75" s="1">
        <v>90</v>
      </c>
      <c r="AP75" s="1">
        <v>0</v>
      </c>
      <c r="AQ75" s="1">
        <v>36</v>
      </c>
      <c r="AR75" s="1">
        <v>0</v>
      </c>
      <c r="AS75" s="1">
        <v>2699</v>
      </c>
      <c r="AT75" s="1">
        <v>0</v>
      </c>
      <c r="AU75" s="1">
        <v>989</v>
      </c>
      <c r="AV75" s="1">
        <v>0</v>
      </c>
      <c r="AW75" s="1">
        <v>595</v>
      </c>
      <c r="AX75" s="1">
        <v>0</v>
      </c>
      <c r="AY75" s="1">
        <v>924</v>
      </c>
      <c r="AZ75" s="1">
        <v>0</v>
      </c>
      <c r="BA75" s="1">
        <v>0</v>
      </c>
    </row>
    <row r="76" spans="1:103">
      <c r="A76" s="19">
        <v>23007</v>
      </c>
      <c r="B76" s="1">
        <v>2024</v>
      </c>
      <c r="C76" s="1">
        <v>6846</v>
      </c>
      <c r="D76" s="1">
        <v>0</v>
      </c>
      <c r="E76" s="1">
        <v>0</v>
      </c>
      <c r="F76" s="1">
        <v>0</v>
      </c>
      <c r="G76" s="1">
        <v>84</v>
      </c>
      <c r="H76" s="1">
        <v>263</v>
      </c>
      <c r="I76" s="1">
        <v>363</v>
      </c>
      <c r="J76" s="1">
        <v>213</v>
      </c>
      <c r="K76" s="1">
        <v>400</v>
      </c>
      <c r="L76" s="1">
        <v>0</v>
      </c>
      <c r="M76" s="1">
        <v>0</v>
      </c>
      <c r="N76" s="1">
        <v>0</v>
      </c>
      <c r="O76" s="1">
        <v>110</v>
      </c>
      <c r="P76" s="1">
        <v>0</v>
      </c>
      <c r="Q76" s="1">
        <v>0</v>
      </c>
      <c r="R76" s="1">
        <v>0</v>
      </c>
      <c r="S76" s="1">
        <v>433</v>
      </c>
      <c r="T76" s="1">
        <v>0</v>
      </c>
      <c r="U76" s="1">
        <v>201</v>
      </c>
      <c r="V76" s="1">
        <v>0</v>
      </c>
      <c r="W76" s="1">
        <v>138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92</v>
      </c>
      <c r="AD76" s="1">
        <v>0</v>
      </c>
      <c r="AE76" s="1">
        <v>110</v>
      </c>
      <c r="AF76" s="1">
        <v>0</v>
      </c>
      <c r="AG76" s="1">
        <v>240</v>
      </c>
      <c r="AH76" s="1">
        <v>31</v>
      </c>
      <c r="AI76" s="1">
        <v>92</v>
      </c>
      <c r="AJ76" s="1">
        <v>0</v>
      </c>
      <c r="AK76" s="1">
        <v>790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261</v>
      </c>
      <c r="AR76" s="1">
        <v>0</v>
      </c>
      <c r="AS76" s="1">
        <v>435</v>
      </c>
      <c r="AT76" s="1">
        <v>0</v>
      </c>
      <c r="AU76" s="1">
        <v>381</v>
      </c>
      <c r="AV76" s="1">
        <v>0</v>
      </c>
      <c r="AW76" s="1">
        <v>594</v>
      </c>
      <c r="AX76" s="1">
        <v>0</v>
      </c>
      <c r="AY76" s="1">
        <v>1615</v>
      </c>
      <c r="AZ76" s="1">
        <v>0</v>
      </c>
      <c r="BA76" s="1">
        <v>0</v>
      </c>
    </row>
    <row r="77" spans="1:103">
      <c r="A77" s="19">
        <v>24001</v>
      </c>
      <c r="B77" s="1">
        <v>2024</v>
      </c>
      <c r="C77" s="1">
        <v>26896</v>
      </c>
      <c r="D77" s="1">
        <v>0</v>
      </c>
      <c r="E77" s="1">
        <v>0</v>
      </c>
      <c r="F77" s="1">
        <v>615</v>
      </c>
      <c r="G77" s="1">
        <v>172</v>
      </c>
      <c r="H77" s="1">
        <v>1846</v>
      </c>
      <c r="I77" s="1">
        <v>958</v>
      </c>
      <c r="J77" s="1">
        <v>710</v>
      </c>
      <c r="K77" s="1">
        <v>108</v>
      </c>
      <c r="L77" s="1">
        <v>0</v>
      </c>
      <c r="M77" s="1">
        <v>22</v>
      </c>
      <c r="N77" s="1">
        <v>110</v>
      </c>
      <c r="O77" s="1">
        <v>797</v>
      </c>
      <c r="P77" s="1">
        <v>163</v>
      </c>
      <c r="Q77" s="1">
        <v>660</v>
      </c>
      <c r="R77" s="1">
        <v>39</v>
      </c>
      <c r="S77" s="1">
        <v>474</v>
      </c>
      <c r="T77" s="1">
        <v>0</v>
      </c>
      <c r="U77" s="1">
        <v>179</v>
      </c>
      <c r="V77" s="1">
        <v>0</v>
      </c>
      <c r="W77" s="1">
        <v>806</v>
      </c>
      <c r="X77" s="1">
        <v>229</v>
      </c>
      <c r="Y77" s="1">
        <v>1574</v>
      </c>
      <c r="Z77" s="1">
        <v>91</v>
      </c>
      <c r="AA77" s="1">
        <v>502</v>
      </c>
      <c r="AB77" s="1">
        <v>0</v>
      </c>
      <c r="AC77" s="1">
        <v>70</v>
      </c>
      <c r="AD77" s="1">
        <v>137</v>
      </c>
      <c r="AE77" s="1">
        <v>1259</v>
      </c>
      <c r="AF77" s="1">
        <v>0</v>
      </c>
      <c r="AG77" s="1">
        <v>965</v>
      </c>
      <c r="AH77" s="1">
        <v>26</v>
      </c>
      <c r="AI77" s="1">
        <v>365</v>
      </c>
      <c r="AJ77" s="1">
        <v>4</v>
      </c>
      <c r="AK77" s="1">
        <v>1025</v>
      </c>
      <c r="AL77" s="1">
        <v>0</v>
      </c>
      <c r="AM77" s="1">
        <v>274</v>
      </c>
      <c r="AN77" s="1">
        <v>0</v>
      </c>
      <c r="AO77" s="1">
        <v>657</v>
      </c>
      <c r="AP77" s="1">
        <v>0</v>
      </c>
      <c r="AQ77" s="1">
        <v>823</v>
      </c>
      <c r="AR77" s="1">
        <v>0</v>
      </c>
      <c r="AS77" s="1">
        <v>1922</v>
      </c>
      <c r="AT77" s="1">
        <v>0</v>
      </c>
      <c r="AU77" s="1">
        <v>3380</v>
      </c>
      <c r="AV77" s="1">
        <v>0</v>
      </c>
      <c r="AW77" s="1">
        <v>2203</v>
      </c>
      <c r="AX77" s="1">
        <v>0</v>
      </c>
      <c r="AY77" s="1">
        <v>3236</v>
      </c>
      <c r="AZ77" s="1">
        <v>0</v>
      </c>
      <c r="BA77" s="1">
        <v>495</v>
      </c>
    </row>
    <row r="78" spans="1:103">
      <c r="A78" s="19">
        <v>24004</v>
      </c>
      <c r="B78" s="1">
        <v>2024</v>
      </c>
      <c r="C78" s="1">
        <v>13118</v>
      </c>
      <c r="D78" s="1">
        <v>0</v>
      </c>
      <c r="E78" s="1">
        <v>0</v>
      </c>
      <c r="F78" s="1">
        <v>3</v>
      </c>
      <c r="G78" s="1">
        <v>113</v>
      </c>
      <c r="H78" s="1">
        <v>454</v>
      </c>
      <c r="I78" s="1">
        <v>714</v>
      </c>
      <c r="J78" s="1">
        <v>68</v>
      </c>
      <c r="K78" s="1">
        <v>36</v>
      </c>
      <c r="L78" s="1">
        <v>85</v>
      </c>
      <c r="M78" s="1">
        <v>0</v>
      </c>
      <c r="N78" s="1">
        <v>136</v>
      </c>
      <c r="O78" s="1">
        <v>633</v>
      </c>
      <c r="P78" s="1">
        <v>332</v>
      </c>
      <c r="Q78" s="1">
        <v>660</v>
      </c>
      <c r="R78" s="1">
        <v>0</v>
      </c>
      <c r="S78" s="1">
        <v>339</v>
      </c>
      <c r="T78" s="1">
        <v>0</v>
      </c>
      <c r="U78" s="1">
        <v>366</v>
      </c>
      <c r="V78" s="1">
        <v>39</v>
      </c>
      <c r="W78" s="1">
        <v>1300</v>
      </c>
      <c r="X78" s="1">
        <v>20</v>
      </c>
      <c r="Y78" s="1">
        <v>34</v>
      </c>
      <c r="Z78" s="1">
        <v>0</v>
      </c>
      <c r="AA78" s="1">
        <v>85</v>
      </c>
      <c r="AB78" s="1">
        <v>0</v>
      </c>
      <c r="AC78" s="1">
        <v>23</v>
      </c>
      <c r="AD78" s="1">
        <v>166</v>
      </c>
      <c r="AE78" s="1">
        <v>277</v>
      </c>
      <c r="AF78" s="1">
        <v>104</v>
      </c>
      <c r="AG78" s="1">
        <v>131</v>
      </c>
      <c r="AH78" s="1">
        <v>0</v>
      </c>
      <c r="AI78" s="1">
        <v>4</v>
      </c>
      <c r="AJ78" s="1">
        <v>0</v>
      </c>
      <c r="AK78" s="1">
        <v>310</v>
      </c>
      <c r="AL78" s="1">
        <v>0</v>
      </c>
      <c r="AM78" s="1">
        <v>625</v>
      </c>
      <c r="AN78" s="1">
        <v>0</v>
      </c>
      <c r="AO78" s="1">
        <v>424</v>
      </c>
      <c r="AP78" s="1">
        <v>0</v>
      </c>
      <c r="AQ78" s="1">
        <v>189</v>
      </c>
      <c r="AR78" s="1">
        <v>0</v>
      </c>
      <c r="AS78" s="1">
        <v>1202</v>
      </c>
      <c r="AT78" s="1">
        <v>0</v>
      </c>
      <c r="AU78" s="1">
        <v>3266</v>
      </c>
      <c r="AV78" s="1">
        <v>0</v>
      </c>
      <c r="AW78" s="1">
        <v>460</v>
      </c>
      <c r="AX78" s="1">
        <v>0</v>
      </c>
      <c r="AY78" s="1">
        <v>192</v>
      </c>
      <c r="AZ78" s="1">
        <v>0</v>
      </c>
      <c r="BA78" s="1">
        <v>328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</row>
    <row r="79" spans="1:103">
      <c r="A79" s="19">
        <v>24005</v>
      </c>
      <c r="B79" s="1">
        <v>2024</v>
      </c>
      <c r="C79" s="1">
        <v>25892</v>
      </c>
      <c r="D79" s="1">
        <v>0</v>
      </c>
      <c r="E79" s="1">
        <v>0</v>
      </c>
      <c r="F79" s="1">
        <v>2</v>
      </c>
      <c r="G79" s="1">
        <v>221</v>
      </c>
      <c r="H79" s="1">
        <v>1674</v>
      </c>
      <c r="I79" s="1">
        <v>609</v>
      </c>
      <c r="J79" s="1">
        <v>419</v>
      </c>
      <c r="K79" s="1">
        <v>345</v>
      </c>
      <c r="L79" s="1">
        <v>0</v>
      </c>
      <c r="M79" s="1">
        <v>0</v>
      </c>
      <c r="N79" s="1">
        <v>0</v>
      </c>
      <c r="O79" s="1">
        <v>408</v>
      </c>
      <c r="P79" s="1">
        <v>0</v>
      </c>
      <c r="Q79" s="1">
        <v>0</v>
      </c>
      <c r="R79" s="1">
        <v>9</v>
      </c>
      <c r="S79" s="1">
        <v>83</v>
      </c>
      <c r="T79" s="1">
        <v>0</v>
      </c>
      <c r="U79" s="1">
        <v>411</v>
      </c>
      <c r="V79" s="1">
        <v>92</v>
      </c>
      <c r="W79" s="1">
        <v>1049</v>
      </c>
      <c r="X79" s="1">
        <v>0</v>
      </c>
      <c r="Y79" s="1">
        <v>745</v>
      </c>
      <c r="Z79" s="1">
        <v>0</v>
      </c>
      <c r="AA79" s="1">
        <v>549</v>
      </c>
      <c r="AB79" s="1">
        <v>15</v>
      </c>
      <c r="AC79" s="1">
        <v>102</v>
      </c>
      <c r="AD79" s="1">
        <v>0</v>
      </c>
      <c r="AE79" s="1">
        <v>532</v>
      </c>
      <c r="AF79" s="1">
        <v>0</v>
      </c>
      <c r="AG79" s="1">
        <v>261</v>
      </c>
      <c r="AH79" s="1">
        <v>91</v>
      </c>
      <c r="AI79" s="1">
        <v>282</v>
      </c>
      <c r="AJ79" s="1">
        <v>138</v>
      </c>
      <c r="AK79" s="1">
        <v>736</v>
      </c>
      <c r="AL79" s="1">
        <v>0</v>
      </c>
      <c r="AM79" s="1">
        <v>898</v>
      </c>
      <c r="AN79" s="1">
        <v>0</v>
      </c>
      <c r="AO79" s="1">
        <v>839</v>
      </c>
      <c r="AP79" s="1">
        <v>37</v>
      </c>
      <c r="AQ79" s="1">
        <v>781</v>
      </c>
      <c r="AR79" s="1">
        <v>0</v>
      </c>
      <c r="AS79" s="1">
        <v>4644</v>
      </c>
      <c r="AT79" s="1">
        <v>0</v>
      </c>
      <c r="AU79" s="1">
        <v>4174</v>
      </c>
      <c r="AV79" s="1">
        <v>0</v>
      </c>
      <c r="AW79" s="1">
        <v>2274</v>
      </c>
      <c r="AX79" s="1">
        <v>0</v>
      </c>
      <c r="AY79" s="1">
        <v>3472</v>
      </c>
      <c r="AZ79" s="1">
        <v>0</v>
      </c>
      <c r="BA79" s="1">
        <v>0</v>
      </c>
    </row>
    <row r="80" spans="1:103">
      <c r="A80" s="19">
        <v>25003</v>
      </c>
      <c r="B80" s="1">
        <v>2024</v>
      </c>
      <c r="C80" s="1">
        <v>21538</v>
      </c>
      <c r="D80" s="1">
        <v>0</v>
      </c>
      <c r="E80" s="1">
        <v>366</v>
      </c>
      <c r="F80" s="1">
        <v>0</v>
      </c>
      <c r="G80" s="1">
        <v>180</v>
      </c>
      <c r="H80" s="1">
        <v>749</v>
      </c>
      <c r="I80" s="1">
        <v>689</v>
      </c>
      <c r="J80" s="1">
        <v>292</v>
      </c>
      <c r="K80" s="1">
        <v>7</v>
      </c>
      <c r="L80" s="1">
        <v>0</v>
      </c>
      <c r="M80" s="1">
        <v>230</v>
      </c>
      <c r="N80" s="1">
        <v>47</v>
      </c>
      <c r="O80" s="1">
        <v>171</v>
      </c>
      <c r="P80" s="1">
        <v>0</v>
      </c>
      <c r="Q80" s="1">
        <v>1</v>
      </c>
      <c r="R80" s="1">
        <v>0</v>
      </c>
      <c r="S80" s="1">
        <v>58</v>
      </c>
      <c r="T80" s="1">
        <v>0</v>
      </c>
      <c r="U80" s="1">
        <v>551</v>
      </c>
      <c r="V80" s="1">
        <v>82</v>
      </c>
      <c r="W80" s="1">
        <v>720</v>
      </c>
      <c r="X80" s="1">
        <v>0</v>
      </c>
      <c r="Y80" s="1">
        <v>478</v>
      </c>
      <c r="Z80" s="1">
        <v>0</v>
      </c>
      <c r="AA80" s="1">
        <v>392</v>
      </c>
      <c r="AB80" s="1">
        <v>0</v>
      </c>
      <c r="AC80" s="1">
        <v>489</v>
      </c>
      <c r="AD80" s="1">
        <v>36</v>
      </c>
      <c r="AE80" s="1">
        <v>1105</v>
      </c>
      <c r="AF80" s="1">
        <v>0</v>
      </c>
      <c r="AG80" s="1">
        <v>776</v>
      </c>
      <c r="AH80" s="1">
        <v>0</v>
      </c>
      <c r="AI80" s="1">
        <v>277</v>
      </c>
      <c r="AJ80" s="1">
        <v>0</v>
      </c>
      <c r="AK80" s="1">
        <v>61</v>
      </c>
      <c r="AL80" s="1">
        <v>0</v>
      </c>
      <c r="AM80" s="1">
        <v>1095</v>
      </c>
      <c r="AN80" s="1">
        <v>0</v>
      </c>
      <c r="AO80" s="1">
        <v>766</v>
      </c>
      <c r="AP80" s="1">
        <v>0</v>
      </c>
      <c r="AQ80" s="1">
        <v>1293</v>
      </c>
      <c r="AR80" s="1">
        <v>0</v>
      </c>
      <c r="AS80" s="1">
        <v>4045</v>
      </c>
      <c r="AT80" s="1">
        <v>0</v>
      </c>
      <c r="AU80" s="1">
        <v>3263</v>
      </c>
      <c r="AV80" s="1">
        <v>0</v>
      </c>
      <c r="AW80" s="1">
        <v>1470</v>
      </c>
      <c r="AX80" s="1">
        <v>0</v>
      </c>
      <c r="AY80" s="1">
        <v>1849</v>
      </c>
      <c r="AZ80" s="1">
        <v>0</v>
      </c>
      <c r="BA80" s="1">
        <v>0</v>
      </c>
    </row>
    <row r="81" spans="1:103">
      <c r="A81" s="19">
        <v>25005</v>
      </c>
      <c r="B81" s="1">
        <v>2024</v>
      </c>
      <c r="C81" s="1">
        <v>11119</v>
      </c>
      <c r="D81" s="1">
        <v>0</v>
      </c>
      <c r="E81" s="1">
        <v>0</v>
      </c>
      <c r="F81" s="1">
        <v>9</v>
      </c>
      <c r="G81" s="1">
        <v>0</v>
      </c>
      <c r="H81" s="1">
        <v>479</v>
      </c>
      <c r="I81" s="1">
        <v>497</v>
      </c>
      <c r="J81" s="1">
        <v>506</v>
      </c>
      <c r="K81" s="1">
        <v>115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195</v>
      </c>
      <c r="R81" s="1">
        <v>112</v>
      </c>
      <c r="S81" s="1">
        <v>367</v>
      </c>
      <c r="T81" s="1">
        <v>0</v>
      </c>
      <c r="U81" s="1">
        <v>7</v>
      </c>
      <c r="V81" s="1">
        <v>0</v>
      </c>
      <c r="W81" s="1">
        <v>54</v>
      </c>
      <c r="X81" s="1">
        <v>0</v>
      </c>
      <c r="Y81" s="1">
        <v>19</v>
      </c>
      <c r="Z81" s="1">
        <v>65</v>
      </c>
      <c r="AA81" s="1">
        <v>126</v>
      </c>
      <c r="AB81" s="1">
        <v>0</v>
      </c>
      <c r="AC81" s="1">
        <v>35</v>
      </c>
      <c r="AD81" s="1">
        <v>0</v>
      </c>
      <c r="AE81" s="1">
        <v>439</v>
      </c>
      <c r="AF81" s="1">
        <v>151</v>
      </c>
      <c r="AG81" s="1">
        <v>483</v>
      </c>
      <c r="AH81" s="1">
        <v>0</v>
      </c>
      <c r="AI81" s="1">
        <v>0</v>
      </c>
      <c r="AJ81" s="1">
        <v>41</v>
      </c>
      <c r="AK81" s="1">
        <v>504</v>
      </c>
      <c r="AL81" s="1">
        <v>0</v>
      </c>
      <c r="AM81" s="1">
        <v>77</v>
      </c>
      <c r="AN81" s="1">
        <v>0</v>
      </c>
      <c r="AO81" s="1">
        <v>232</v>
      </c>
      <c r="AP81" s="1">
        <v>0</v>
      </c>
      <c r="AQ81" s="1">
        <v>407</v>
      </c>
      <c r="AR81" s="1">
        <v>0</v>
      </c>
      <c r="AS81" s="1">
        <v>478</v>
      </c>
      <c r="AT81" s="1">
        <v>0</v>
      </c>
      <c r="AU81" s="1">
        <v>3137</v>
      </c>
      <c r="AV81" s="1">
        <v>0</v>
      </c>
      <c r="AW81" s="1">
        <v>1756</v>
      </c>
      <c r="AX81" s="1">
        <v>0</v>
      </c>
      <c r="AY81" s="1">
        <v>828</v>
      </c>
      <c r="AZ81" s="1">
        <v>0</v>
      </c>
      <c r="BA81" s="1">
        <v>0</v>
      </c>
    </row>
    <row r="82" spans="1:103">
      <c r="A82" s="19">
        <v>25007</v>
      </c>
      <c r="B82" s="1">
        <v>2024</v>
      </c>
      <c r="C82" s="1">
        <v>19633</v>
      </c>
      <c r="D82" s="1">
        <v>0</v>
      </c>
      <c r="E82" s="1">
        <v>0</v>
      </c>
      <c r="F82" s="1">
        <v>112</v>
      </c>
      <c r="G82" s="1">
        <v>67</v>
      </c>
      <c r="H82" s="1">
        <v>912</v>
      </c>
      <c r="I82" s="1">
        <v>769</v>
      </c>
      <c r="J82" s="1">
        <v>283</v>
      </c>
      <c r="K82" s="1">
        <v>0</v>
      </c>
      <c r="L82" s="1">
        <v>0</v>
      </c>
      <c r="M82" s="1">
        <v>116</v>
      </c>
      <c r="N82" s="1">
        <v>182</v>
      </c>
      <c r="O82" s="1">
        <v>1305</v>
      </c>
      <c r="P82" s="1">
        <v>10</v>
      </c>
      <c r="Q82" s="1">
        <v>995</v>
      </c>
      <c r="R82" s="1">
        <v>0</v>
      </c>
      <c r="S82" s="1">
        <v>1653</v>
      </c>
      <c r="T82" s="1">
        <v>114</v>
      </c>
      <c r="U82" s="1">
        <v>0</v>
      </c>
      <c r="V82" s="1">
        <v>14</v>
      </c>
      <c r="W82" s="1">
        <v>241</v>
      </c>
      <c r="X82" s="1">
        <v>23</v>
      </c>
      <c r="Y82" s="1">
        <v>95</v>
      </c>
      <c r="Z82" s="1">
        <v>0</v>
      </c>
      <c r="AA82" s="1">
        <v>0</v>
      </c>
      <c r="AB82" s="1">
        <v>0</v>
      </c>
      <c r="AC82" s="1">
        <v>162</v>
      </c>
      <c r="AD82" s="1">
        <v>0</v>
      </c>
      <c r="AE82" s="1">
        <v>822</v>
      </c>
      <c r="AF82" s="1">
        <v>0</v>
      </c>
      <c r="AG82" s="1">
        <v>1995</v>
      </c>
      <c r="AH82" s="1">
        <v>0</v>
      </c>
      <c r="AI82" s="1">
        <v>281</v>
      </c>
      <c r="AJ82" s="1">
        <v>0</v>
      </c>
      <c r="AK82" s="1">
        <v>726</v>
      </c>
      <c r="AL82" s="1">
        <v>0</v>
      </c>
      <c r="AM82" s="1">
        <v>658</v>
      </c>
      <c r="AN82" s="1">
        <v>0</v>
      </c>
      <c r="AO82" s="1">
        <v>335</v>
      </c>
      <c r="AP82" s="1">
        <v>0</v>
      </c>
      <c r="AQ82" s="1">
        <v>166</v>
      </c>
      <c r="AR82" s="1">
        <v>0</v>
      </c>
      <c r="AS82" s="1">
        <v>2296</v>
      </c>
      <c r="AT82" s="1">
        <v>0</v>
      </c>
      <c r="AU82" s="1">
        <v>3365</v>
      </c>
      <c r="AV82" s="1">
        <v>0</v>
      </c>
      <c r="AW82" s="1">
        <v>886</v>
      </c>
      <c r="AX82" s="1">
        <v>0</v>
      </c>
      <c r="AY82" s="1">
        <v>1050</v>
      </c>
      <c r="AZ82" s="1">
        <v>0</v>
      </c>
      <c r="BA82" s="1">
        <v>0</v>
      </c>
    </row>
    <row r="83" spans="1:103">
      <c r="A83" s="19">
        <v>25008</v>
      </c>
      <c r="B83" s="1">
        <v>2024</v>
      </c>
      <c r="C83" s="1">
        <v>20837</v>
      </c>
      <c r="D83" s="1">
        <v>0</v>
      </c>
      <c r="E83" s="1">
        <v>0</v>
      </c>
      <c r="F83" s="1">
        <v>352</v>
      </c>
      <c r="G83" s="1">
        <v>85</v>
      </c>
      <c r="H83" s="1">
        <v>1103</v>
      </c>
      <c r="I83" s="1">
        <v>2268</v>
      </c>
      <c r="J83" s="1">
        <v>327</v>
      </c>
      <c r="K83" s="1">
        <v>635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133</v>
      </c>
      <c r="R83" s="1">
        <v>0</v>
      </c>
      <c r="S83" s="1">
        <v>0</v>
      </c>
      <c r="T83" s="1">
        <v>0</v>
      </c>
      <c r="U83" s="1">
        <v>649</v>
      </c>
      <c r="V83" s="1">
        <v>0</v>
      </c>
      <c r="W83" s="1">
        <v>667</v>
      </c>
      <c r="X83" s="1">
        <v>0</v>
      </c>
      <c r="Y83" s="1">
        <v>1296</v>
      </c>
      <c r="Z83" s="1">
        <v>0</v>
      </c>
      <c r="AA83" s="1">
        <v>129</v>
      </c>
      <c r="AB83" s="1">
        <v>0</v>
      </c>
      <c r="AC83" s="1">
        <v>550</v>
      </c>
      <c r="AD83" s="1">
        <v>0</v>
      </c>
      <c r="AE83" s="1">
        <v>871</v>
      </c>
      <c r="AF83" s="1">
        <v>0</v>
      </c>
      <c r="AG83" s="1">
        <v>1253</v>
      </c>
      <c r="AH83" s="1">
        <v>0</v>
      </c>
      <c r="AI83" s="1">
        <v>47</v>
      </c>
      <c r="AJ83" s="1">
        <v>0</v>
      </c>
      <c r="AK83" s="1">
        <v>217</v>
      </c>
      <c r="AL83" s="1">
        <v>0</v>
      </c>
      <c r="AM83" s="1">
        <v>515</v>
      </c>
      <c r="AN83" s="1">
        <v>0</v>
      </c>
      <c r="AO83" s="1">
        <v>1054</v>
      </c>
      <c r="AP83" s="1">
        <v>0</v>
      </c>
      <c r="AQ83" s="1">
        <v>68</v>
      </c>
      <c r="AR83" s="1">
        <v>0</v>
      </c>
      <c r="AS83" s="1">
        <v>689</v>
      </c>
      <c r="AT83" s="1">
        <v>0</v>
      </c>
      <c r="AU83" s="1">
        <v>4243</v>
      </c>
      <c r="AV83" s="1">
        <v>0</v>
      </c>
      <c r="AW83" s="1">
        <v>1003</v>
      </c>
      <c r="AX83" s="1">
        <v>0</v>
      </c>
      <c r="AY83" s="1">
        <v>2651</v>
      </c>
      <c r="AZ83" s="1">
        <v>0</v>
      </c>
      <c r="BA83" s="1">
        <v>32</v>
      </c>
    </row>
    <row r="84" spans="1:103">
      <c r="A84" s="19">
        <v>26003</v>
      </c>
      <c r="B84" s="1">
        <v>2024</v>
      </c>
      <c r="C84" s="1">
        <v>13520</v>
      </c>
      <c r="D84" s="1">
        <v>0</v>
      </c>
      <c r="E84" s="1">
        <v>0</v>
      </c>
      <c r="F84" s="1">
        <v>31</v>
      </c>
      <c r="G84" s="1">
        <v>54</v>
      </c>
      <c r="H84" s="1">
        <v>324</v>
      </c>
      <c r="I84" s="1">
        <v>385</v>
      </c>
      <c r="J84" s="1">
        <v>267</v>
      </c>
      <c r="K84" s="1">
        <v>17</v>
      </c>
      <c r="L84" s="1">
        <v>0</v>
      </c>
      <c r="M84" s="1">
        <v>0</v>
      </c>
      <c r="N84" s="1">
        <v>0</v>
      </c>
      <c r="O84" s="1">
        <v>32</v>
      </c>
      <c r="P84" s="1">
        <v>0</v>
      </c>
      <c r="Q84" s="1">
        <v>0</v>
      </c>
      <c r="R84" s="1">
        <v>0</v>
      </c>
      <c r="S84" s="1">
        <v>100</v>
      </c>
      <c r="T84" s="1">
        <v>0</v>
      </c>
      <c r="U84" s="1">
        <v>314</v>
      </c>
      <c r="V84" s="1">
        <v>92</v>
      </c>
      <c r="W84" s="1">
        <v>1037</v>
      </c>
      <c r="X84" s="1">
        <v>0</v>
      </c>
      <c r="Y84" s="1">
        <v>429</v>
      </c>
      <c r="Z84" s="1">
        <v>122</v>
      </c>
      <c r="AA84" s="1">
        <v>183</v>
      </c>
      <c r="AB84" s="1">
        <v>0</v>
      </c>
      <c r="AC84" s="1">
        <v>0</v>
      </c>
      <c r="AD84" s="1">
        <v>19</v>
      </c>
      <c r="AE84" s="1">
        <v>92</v>
      </c>
      <c r="AF84" s="1">
        <v>0</v>
      </c>
      <c r="AG84" s="1">
        <v>233</v>
      </c>
      <c r="AH84" s="1">
        <v>96</v>
      </c>
      <c r="AI84" s="1">
        <v>242</v>
      </c>
      <c r="AJ84" s="1">
        <v>152</v>
      </c>
      <c r="AK84" s="1">
        <v>663</v>
      </c>
      <c r="AL84" s="1">
        <v>0</v>
      </c>
      <c r="AM84" s="1">
        <v>331</v>
      </c>
      <c r="AN84" s="1">
        <v>0</v>
      </c>
      <c r="AO84" s="1">
        <v>765</v>
      </c>
      <c r="AP84" s="1">
        <v>0</v>
      </c>
      <c r="AQ84" s="1">
        <v>369</v>
      </c>
      <c r="AR84" s="1">
        <v>0</v>
      </c>
      <c r="AS84" s="1">
        <v>1277</v>
      </c>
      <c r="AT84" s="1">
        <v>0</v>
      </c>
      <c r="AU84" s="1">
        <v>3177</v>
      </c>
      <c r="AV84" s="1">
        <v>0</v>
      </c>
      <c r="AW84" s="1">
        <v>367</v>
      </c>
      <c r="AX84" s="1">
        <v>0</v>
      </c>
      <c r="AY84" s="1">
        <v>2303</v>
      </c>
      <c r="AZ84" s="1">
        <v>0</v>
      </c>
      <c r="BA84" s="1">
        <v>47</v>
      </c>
    </row>
    <row r="85" spans="1:103">
      <c r="A85" s="19">
        <v>27001</v>
      </c>
      <c r="B85" s="1">
        <v>2024</v>
      </c>
      <c r="C85" s="1">
        <v>6387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688</v>
      </c>
      <c r="CJ85" s="1">
        <v>0</v>
      </c>
      <c r="CK85" s="1">
        <v>215</v>
      </c>
      <c r="CL85" s="1">
        <v>0</v>
      </c>
      <c r="CM85" s="1">
        <v>4020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1460</v>
      </c>
      <c r="CX85" s="1">
        <v>0</v>
      </c>
      <c r="CY85" s="1">
        <v>4</v>
      </c>
    </row>
    <row r="86" spans="1:103">
      <c r="A86" s="19">
        <v>27002</v>
      </c>
      <c r="B86" s="1">
        <v>2024</v>
      </c>
      <c r="C86" s="1">
        <v>24157</v>
      </c>
      <c r="D86" s="1">
        <v>0</v>
      </c>
      <c r="E86" s="1">
        <v>0</v>
      </c>
      <c r="F86" s="1">
        <v>592</v>
      </c>
      <c r="G86" s="1">
        <v>731</v>
      </c>
      <c r="H86" s="1">
        <v>3764</v>
      </c>
      <c r="I86" s="1">
        <v>1896</v>
      </c>
      <c r="J86" s="1">
        <v>1128</v>
      </c>
      <c r="K86" s="1">
        <v>1190</v>
      </c>
      <c r="L86" s="1">
        <v>0</v>
      </c>
      <c r="M86" s="1">
        <v>0</v>
      </c>
      <c r="N86" s="1">
        <v>104</v>
      </c>
      <c r="O86" s="1">
        <v>20</v>
      </c>
      <c r="P86" s="1">
        <v>89</v>
      </c>
      <c r="Q86" s="1">
        <v>56</v>
      </c>
      <c r="R86" s="1">
        <v>11</v>
      </c>
      <c r="S86" s="1">
        <v>30</v>
      </c>
      <c r="T86" s="1">
        <v>7</v>
      </c>
      <c r="U86" s="1">
        <v>805</v>
      </c>
      <c r="V86" s="1">
        <v>295</v>
      </c>
      <c r="W86" s="1">
        <v>1231</v>
      </c>
      <c r="X86" s="1">
        <v>101</v>
      </c>
      <c r="Y86" s="1">
        <v>289</v>
      </c>
      <c r="Z86" s="1">
        <v>12</v>
      </c>
      <c r="AA86" s="1">
        <v>222</v>
      </c>
      <c r="AB86" s="1">
        <v>57</v>
      </c>
      <c r="AC86" s="1">
        <v>212</v>
      </c>
      <c r="AD86" s="1">
        <v>0</v>
      </c>
      <c r="AE86" s="1">
        <v>719</v>
      </c>
      <c r="AF86" s="1">
        <v>11</v>
      </c>
      <c r="AG86" s="1">
        <v>398</v>
      </c>
      <c r="AH86" s="1">
        <v>0</v>
      </c>
      <c r="AI86" s="1">
        <v>64</v>
      </c>
      <c r="AJ86" s="1">
        <v>107</v>
      </c>
      <c r="AK86" s="1">
        <v>789</v>
      </c>
      <c r="AL86" s="1">
        <v>0</v>
      </c>
      <c r="AM86" s="1">
        <v>265</v>
      </c>
      <c r="AN86" s="1">
        <v>0</v>
      </c>
      <c r="AO86" s="1">
        <v>1055</v>
      </c>
      <c r="AP86" s="1">
        <v>0</v>
      </c>
      <c r="AQ86" s="1">
        <v>243</v>
      </c>
      <c r="AR86" s="1">
        <v>0</v>
      </c>
      <c r="AS86" s="1">
        <v>2173</v>
      </c>
      <c r="AT86" s="1">
        <v>0</v>
      </c>
      <c r="AU86" s="1">
        <v>2095</v>
      </c>
      <c r="AV86" s="1">
        <v>0</v>
      </c>
      <c r="AW86" s="1">
        <v>569</v>
      </c>
      <c r="AX86" s="1">
        <v>0</v>
      </c>
      <c r="AY86" s="1">
        <v>1642</v>
      </c>
      <c r="AZ86" s="1">
        <v>0</v>
      </c>
      <c r="BA86" s="1">
        <v>1185</v>
      </c>
    </row>
    <row r="87" spans="1:103">
      <c r="A87" s="19">
        <v>27004</v>
      </c>
      <c r="B87" s="1">
        <v>2024</v>
      </c>
      <c r="C87" s="1">
        <v>22053</v>
      </c>
      <c r="D87" s="1">
        <v>0</v>
      </c>
      <c r="E87" s="1">
        <v>0</v>
      </c>
      <c r="F87" s="1">
        <v>26</v>
      </c>
      <c r="G87" s="1">
        <v>375</v>
      </c>
      <c r="H87" s="1">
        <v>1850</v>
      </c>
      <c r="I87" s="1">
        <v>1521</v>
      </c>
      <c r="J87" s="1">
        <v>1029</v>
      </c>
      <c r="K87" s="1">
        <v>967</v>
      </c>
      <c r="L87" s="1">
        <v>0</v>
      </c>
      <c r="M87" s="1">
        <v>9</v>
      </c>
      <c r="N87" s="1">
        <v>98</v>
      </c>
      <c r="O87" s="1">
        <v>135</v>
      </c>
      <c r="P87" s="1">
        <v>88</v>
      </c>
      <c r="Q87" s="1">
        <v>269</v>
      </c>
      <c r="R87" s="1">
        <v>29</v>
      </c>
      <c r="S87" s="1">
        <v>160</v>
      </c>
      <c r="T87" s="1">
        <v>0</v>
      </c>
      <c r="U87" s="1">
        <v>885</v>
      </c>
      <c r="V87" s="1">
        <v>87</v>
      </c>
      <c r="W87" s="1">
        <v>1426</v>
      </c>
      <c r="X87" s="1">
        <v>26</v>
      </c>
      <c r="Y87" s="1">
        <v>213</v>
      </c>
      <c r="Z87" s="1">
        <v>163</v>
      </c>
      <c r="AA87" s="1">
        <v>50</v>
      </c>
      <c r="AB87" s="1">
        <v>0</v>
      </c>
      <c r="AC87" s="1">
        <v>0</v>
      </c>
      <c r="AD87" s="1">
        <v>296</v>
      </c>
      <c r="AE87" s="1">
        <v>647</v>
      </c>
      <c r="AF87" s="1">
        <v>0</v>
      </c>
      <c r="AG87" s="1">
        <v>130</v>
      </c>
      <c r="AH87" s="1">
        <v>0</v>
      </c>
      <c r="AI87" s="1">
        <v>122</v>
      </c>
      <c r="AJ87" s="1">
        <v>138</v>
      </c>
      <c r="AK87" s="1">
        <v>878</v>
      </c>
      <c r="AL87" s="1">
        <v>0</v>
      </c>
      <c r="AM87" s="1">
        <v>81</v>
      </c>
      <c r="AN87" s="1">
        <v>0</v>
      </c>
      <c r="AO87" s="1">
        <v>588</v>
      </c>
      <c r="AP87" s="1">
        <v>0</v>
      </c>
      <c r="AQ87" s="1">
        <v>781</v>
      </c>
      <c r="AR87" s="1">
        <v>0</v>
      </c>
      <c r="AS87" s="1">
        <v>3017</v>
      </c>
      <c r="AT87" s="1">
        <v>0</v>
      </c>
      <c r="AU87" s="1">
        <v>1211</v>
      </c>
      <c r="AV87" s="1">
        <v>0</v>
      </c>
      <c r="AW87" s="1">
        <v>676</v>
      </c>
      <c r="AX87" s="1">
        <v>0</v>
      </c>
      <c r="AY87" s="1">
        <v>3149</v>
      </c>
      <c r="AZ87" s="1">
        <v>0</v>
      </c>
      <c r="BA87" s="1">
        <v>933</v>
      </c>
    </row>
    <row r="88" spans="1:103">
      <c r="A88" s="19">
        <v>27005</v>
      </c>
      <c r="B88" s="1">
        <v>2024</v>
      </c>
      <c r="C88" s="1">
        <v>47288</v>
      </c>
      <c r="D88" s="1">
        <v>0</v>
      </c>
      <c r="E88" s="1">
        <v>0</v>
      </c>
      <c r="F88" s="1">
        <v>0</v>
      </c>
      <c r="G88" s="1">
        <v>372</v>
      </c>
      <c r="H88" s="1">
        <v>5608</v>
      </c>
      <c r="I88" s="1">
        <v>6473</v>
      </c>
      <c r="J88" s="1">
        <v>3897</v>
      </c>
      <c r="K88" s="1">
        <v>1047</v>
      </c>
      <c r="L88" s="1">
        <v>0</v>
      </c>
      <c r="M88" s="1">
        <v>0</v>
      </c>
      <c r="N88" s="1">
        <v>0</v>
      </c>
      <c r="O88" s="1">
        <v>142</v>
      </c>
      <c r="P88" s="1">
        <v>0</v>
      </c>
      <c r="Q88" s="1">
        <v>22</v>
      </c>
      <c r="R88" s="1">
        <v>0</v>
      </c>
      <c r="S88" s="1">
        <v>213</v>
      </c>
      <c r="T88" s="1">
        <v>0</v>
      </c>
      <c r="U88" s="1">
        <v>763</v>
      </c>
      <c r="V88" s="1">
        <v>0</v>
      </c>
      <c r="W88" s="1">
        <v>1277</v>
      </c>
      <c r="X88" s="1">
        <v>0</v>
      </c>
      <c r="Y88" s="1">
        <v>2613</v>
      </c>
      <c r="Z88" s="1">
        <v>0</v>
      </c>
      <c r="AA88" s="1">
        <v>709</v>
      </c>
      <c r="AB88" s="1">
        <v>9</v>
      </c>
      <c r="AC88" s="1">
        <v>212</v>
      </c>
      <c r="AD88" s="1">
        <v>88</v>
      </c>
      <c r="AE88" s="1">
        <v>1430</v>
      </c>
      <c r="AF88" s="1">
        <v>28</v>
      </c>
      <c r="AG88" s="1">
        <v>824</v>
      </c>
      <c r="AH88" s="1">
        <v>0</v>
      </c>
      <c r="AI88" s="1">
        <v>485</v>
      </c>
      <c r="AJ88" s="1">
        <v>0</v>
      </c>
      <c r="AK88" s="1">
        <v>136</v>
      </c>
      <c r="AL88" s="1">
        <v>0</v>
      </c>
      <c r="AM88" s="1">
        <v>1825</v>
      </c>
      <c r="AN88" s="1">
        <v>0</v>
      </c>
      <c r="AO88" s="1">
        <v>298</v>
      </c>
      <c r="AP88" s="1">
        <v>0</v>
      </c>
      <c r="AQ88" s="1">
        <v>275</v>
      </c>
      <c r="AR88" s="1">
        <v>0</v>
      </c>
      <c r="AS88" s="1">
        <v>3724</v>
      </c>
      <c r="AT88" s="1">
        <v>0</v>
      </c>
      <c r="AU88" s="1">
        <v>10723</v>
      </c>
      <c r="AV88" s="1">
        <v>0</v>
      </c>
      <c r="AW88" s="1">
        <v>3341</v>
      </c>
      <c r="AX88" s="1">
        <v>0</v>
      </c>
      <c r="AY88" s="1">
        <v>754</v>
      </c>
      <c r="AZ88" s="1">
        <v>0</v>
      </c>
      <c r="BA88" s="1">
        <v>0</v>
      </c>
    </row>
    <row r="89" spans="1:103">
      <c r="A89" s="19">
        <v>27007</v>
      </c>
      <c r="B89" s="1">
        <v>2024</v>
      </c>
      <c r="C89" s="1">
        <v>4163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749</v>
      </c>
      <c r="CI89" s="1">
        <v>817</v>
      </c>
      <c r="CJ89" s="1">
        <v>0</v>
      </c>
      <c r="CK89" s="1">
        <v>0</v>
      </c>
      <c r="CL89" s="1">
        <v>0</v>
      </c>
      <c r="CM89" s="1">
        <v>1790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807</v>
      </c>
      <c r="CX89" s="1">
        <v>0</v>
      </c>
      <c r="CY89" s="1">
        <v>0</v>
      </c>
    </row>
    <row r="90" spans="1:103">
      <c r="A90" s="19">
        <v>27013</v>
      </c>
      <c r="B90" s="1">
        <v>2024</v>
      </c>
      <c r="C90" s="1">
        <v>56737</v>
      </c>
      <c r="D90" s="1">
        <v>0</v>
      </c>
      <c r="E90" s="1">
        <v>0</v>
      </c>
      <c r="F90" s="1">
        <v>682</v>
      </c>
      <c r="G90" s="1">
        <v>229</v>
      </c>
      <c r="H90" s="1">
        <v>3270</v>
      </c>
      <c r="I90" s="1">
        <v>6409</v>
      </c>
      <c r="J90" s="1">
        <v>1126</v>
      </c>
      <c r="K90" s="1">
        <v>114</v>
      </c>
      <c r="L90" s="1">
        <v>0</v>
      </c>
      <c r="M90" s="1">
        <v>40</v>
      </c>
      <c r="N90" s="1">
        <v>56</v>
      </c>
      <c r="O90" s="1">
        <v>356</v>
      </c>
      <c r="P90" s="1">
        <v>69</v>
      </c>
      <c r="Q90" s="1">
        <v>329</v>
      </c>
      <c r="R90" s="1">
        <v>0</v>
      </c>
      <c r="S90" s="1">
        <v>121</v>
      </c>
      <c r="T90" s="1">
        <v>0</v>
      </c>
      <c r="U90" s="1">
        <v>1936</v>
      </c>
      <c r="V90" s="1">
        <v>22</v>
      </c>
      <c r="W90" s="1">
        <v>2227</v>
      </c>
      <c r="X90" s="1">
        <v>92</v>
      </c>
      <c r="Y90" s="1">
        <v>4069</v>
      </c>
      <c r="Z90" s="1">
        <v>15</v>
      </c>
      <c r="AA90" s="1">
        <v>79</v>
      </c>
      <c r="AB90" s="1">
        <v>174</v>
      </c>
      <c r="AC90" s="1">
        <v>90</v>
      </c>
      <c r="AD90" s="1">
        <v>51</v>
      </c>
      <c r="AE90" s="1">
        <v>1169</v>
      </c>
      <c r="AF90" s="1">
        <v>35</v>
      </c>
      <c r="AG90" s="1">
        <v>3385</v>
      </c>
      <c r="AH90" s="1">
        <v>0</v>
      </c>
      <c r="AI90" s="1">
        <v>47</v>
      </c>
      <c r="AJ90" s="1">
        <v>0</v>
      </c>
      <c r="AK90" s="1">
        <v>759</v>
      </c>
      <c r="AL90" s="1">
        <v>0</v>
      </c>
      <c r="AM90" s="1">
        <v>1030</v>
      </c>
      <c r="AN90" s="1">
        <v>0</v>
      </c>
      <c r="AO90" s="1">
        <v>374</v>
      </c>
      <c r="AP90" s="1">
        <v>0</v>
      </c>
      <c r="AQ90" s="1">
        <v>1879</v>
      </c>
      <c r="AR90" s="1">
        <v>0</v>
      </c>
      <c r="AS90" s="1">
        <v>5268</v>
      </c>
      <c r="AT90" s="1">
        <v>0</v>
      </c>
      <c r="AU90" s="1">
        <v>15630</v>
      </c>
      <c r="AV90" s="1">
        <v>0</v>
      </c>
      <c r="AW90" s="1">
        <v>1944</v>
      </c>
      <c r="AX90" s="1">
        <v>0</v>
      </c>
      <c r="AY90" s="1">
        <v>2342</v>
      </c>
      <c r="AZ90" s="1">
        <v>0</v>
      </c>
      <c r="BA90" s="1">
        <v>1319</v>
      </c>
    </row>
    <row r="91" spans="1:103">
      <c r="A91" s="19">
        <v>27014</v>
      </c>
      <c r="B91" s="1">
        <v>2024</v>
      </c>
      <c r="C91" s="1">
        <v>45164</v>
      </c>
      <c r="D91" s="1">
        <v>0</v>
      </c>
      <c r="E91" s="1">
        <v>0</v>
      </c>
      <c r="F91" s="1">
        <v>0</v>
      </c>
      <c r="G91" s="1">
        <v>198</v>
      </c>
      <c r="H91" s="1">
        <v>920</v>
      </c>
      <c r="I91" s="1">
        <v>2196</v>
      </c>
      <c r="J91" s="1">
        <v>797</v>
      </c>
      <c r="K91" s="1">
        <v>1041</v>
      </c>
      <c r="L91" s="1">
        <v>0</v>
      </c>
      <c r="M91" s="1">
        <v>215</v>
      </c>
      <c r="N91" s="1">
        <v>0</v>
      </c>
      <c r="O91" s="1">
        <v>615</v>
      </c>
      <c r="P91" s="1">
        <v>6</v>
      </c>
      <c r="Q91" s="1">
        <v>209</v>
      </c>
      <c r="R91" s="1">
        <v>88</v>
      </c>
      <c r="S91" s="1">
        <v>175</v>
      </c>
      <c r="T91" s="1">
        <v>81</v>
      </c>
      <c r="U91" s="1">
        <v>616</v>
      </c>
      <c r="V91" s="1">
        <v>253</v>
      </c>
      <c r="W91" s="1">
        <v>3190</v>
      </c>
      <c r="X91" s="1">
        <v>308</v>
      </c>
      <c r="Y91" s="1">
        <v>2322</v>
      </c>
      <c r="Z91" s="1">
        <v>93</v>
      </c>
      <c r="AA91" s="1">
        <v>270</v>
      </c>
      <c r="AB91" s="1">
        <v>43</v>
      </c>
      <c r="AC91" s="1">
        <v>439</v>
      </c>
      <c r="AD91" s="1">
        <v>87</v>
      </c>
      <c r="AE91" s="1">
        <v>2345</v>
      </c>
      <c r="AF91" s="1">
        <v>209</v>
      </c>
      <c r="AG91" s="1">
        <v>1715</v>
      </c>
      <c r="AH91" s="1">
        <v>221</v>
      </c>
      <c r="AI91" s="1">
        <v>356</v>
      </c>
      <c r="AJ91" s="1">
        <v>338</v>
      </c>
      <c r="AK91" s="1">
        <v>1287</v>
      </c>
      <c r="AL91" s="1">
        <v>0</v>
      </c>
      <c r="AM91" s="1">
        <v>4233</v>
      </c>
      <c r="AN91" s="1">
        <v>0</v>
      </c>
      <c r="AO91" s="1">
        <v>1579</v>
      </c>
      <c r="AP91" s="1">
        <v>0</v>
      </c>
      <c r="AQ91" s="1">
        <v>1945</v>
      </c>
      <c r="AR91" s="1">
        <v>0</v>
      </c>
      <c r="AS91" s="1">
        <v>3123</v>
      </c>
      <c r="AT91" s="1">
        <v>0</v>
      </c>
      <c r="AU91" s="1">
        <v>5988</v>
      </c>
      <c r="AV91" s="1">
        <v>0</v>
      </c>
      <c r="AW91" s="1">
        <v>2097</v>
      </c>
      <c r="AX91" s="1">
        <v>0</v>
      </c>
      <c r="AY91" s="1">
        <v>4606</v>
      </c>
      <c r="AZ91" s="1">
        <v>0</v>
      </c>
      <c r="BA91" s="1">
        <v>960</v>
      </c>
    </row>
    <row r="92" spans="1:103">
      <c r="A92" s="19">
        <v>27015</v>
      </c>
      <c r="B92" s="1">
        <v>2024</v>
      </c>
      <c r="C92" s="1">
        <v>10795</v>
      </c>
      <c r="D92" s="1">
        <v>0</v>
      </c>
      <c r="E92" s="1">
        <v>0</v>
      </c>
      <c r="F92" s="1">
        <v>0</v>
      </c>
      <c r="G92" s="1">
        <v>67</v>
      </c>
      <c r="H92" s="1">
        <v>546</v>
      </c>
      <c r="I92" s="1">
        <v>1251</v>
      </c>
      <c r="J92" s="1">
        <v>282</v>
      </c>
      <c r="K92" s="1">
        <v>21</v>
      </c>
      <c r="L92" s="1">
        <v>0</v>
      </c>
      <c r="M92" s="1">
        <v>0</v>
      </c>
      <c r="N92" s="1">
        <v>0</v>
      </c>
      <c r="O92" s="1">
        <v>292</v>
      </c>
      <c r="P92" s="1">
        <v>0</v>
      </c>
      <c r="Q92" s="1">
        <v>110</v>
      </c>
      <c r="R92" s="1">
        <v>0</v>
      </c>
      <c r="S92" s="1">
        <v>0</v>
      </c>
      <c r="T92" s="1">
        <v>0</v>
      </c>
      <c r="U92" s="1">
        <v>156</v>
      </c>
      <c r="V92" s="1">
        <v>0</v>
      </c>
      <c r="W92" s="1">
        <v>583</v>
      </c>
      <c r="X92" s="1">
        <v>159</v>
      </c>
      <c r="Y92" s="1">
        <v>108</v>
      </c>
      <c r="Z92" s="1">
        <v>0</v>
      </c>
      <c r="AA92" s="1">
        <v>47</v>
      </c>
      <c r="AB92" s="1">
        <v>0</v>
      </c>
      <c r="AC92" s="1">
        <v>145</v>
      </c>
      <c r="AD92" s="1">
        <v>90</v>
      </c>
      <c r="AE92" s="1">
        <v>249</v>
      </c>
      <c r="AF92" s="1">
        <v>100</v>
      </c>
      <c r="AG92" s="1">
        <v>169</v>
      </c>
      <c r="AH92" s="1">
        <v>0</v>
      </c>
      <c r="AI92" s="1">
        <v>35</v>
      </c>
      <c r="AJ92" s="1">
        <v>0</v>
      </c>
      <c r="AK92" s="1">
        <v>0</v>
      </c>
      <c r="AL92" s="1">
        <v>0</v>
      </c>
      <c r="AM92" s="1">
        <v>444</v>
      </c>
      <c r="AN92" s="1">
        <v>0</v>
      </c>
      <c r="AO92" s="1">
        <v>351</v>
      </c>
      <c r="AP92" s="1">
        <v>0</v>
      </c>
      <c r="AQ92" s="1">
        <v>805</v>
      </c>
      <c r="AR92" s="1">
        <v>0</v>
      </c>
      <c r="AS92" s="1">
        <v>1355</v>
      </c>
      <c r="AT92" s="1">
        <v>0</v>
      </c>
      <c r="AU92" s="1">
        <v>1991</v>
      </c>
      <c r="AV92" s="1">
        <v>0</v>
      </c>
      <c r="AW92" s="1">
        <v>154</v>
      </c>
      <c r="AX92" s="1">
        <v>0</v>
      </c>
      <c r="AY92" s="1">
        <v>616</v>
      </c>
      <c r="AZ92" s="1">
        <v>0</v>
      </c>
      <c r="BA92" s="1">
        <v>669</v>
      </c>
    </row>
    <row r="93" spans="1:103">
      <c r="A93" s="19">
        <v>27017</v>
      </c>
      <c r="B93" s="1">
        <v>2024</v>
      </c>
      <c r="C93" s="1">
        <v>21229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92</v>
      </c>
      <c r="CH93" s="1">
        <v>214</v>
      </c>
      <c r="CI93" s="1">
        <v>2056</v>
      </c>
      <c r="CJ93" s="1">
        <v>0</v>
      </c>
      <c r="CK93" s="1">
        <v>367</v>
      </c>
      <c r="CL93" s="1">
        <v>0</v>
      </c>
      <c r="CM93" s="1">
        <v>15925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2575</v>
      </c>
      <c r="CX93" s="1">
        <v>0</v>
      </c>
      <c r="CY93" s="1">
        <v>0</v>
      </c>
    </row>
    <row r="94" spans="1:103">
      <c r="A94" s="19">
        <v>27020</v>
      </c>
      <c r="B94" s="1">
        <v>2024</v>
      </c>
      <c r="C94" s="1">
        <v>12671</v>
      </c>
      <c r="D94" s="1">
        <v>0</v>
      </c>
      <c r="E94" s="1">
        <v>0</v>
      </c>
      <c r="F94" s="1">
        <v>257</v>
      </c>
      <c r="G94" s="1">
        <v>2678</v>
      </c>
      <c r="H94" s="1">
        <v>5322</v>
      </c>
      <c r="I94" s="1">
        <v>3131</v>
      </c>
      <c r="J94" s="1">
        <v>123</v>
      </c>
      <c r="K94" s="1">
        <v>50</v>
      </c>
      <c r="L94" s="1">
        <v>168</v>
      </c>
      <c r="M94" s="1">
        <v>208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36</v>
      </c>
      <c r="V94" s="1">
        <v>0</v>
      </c>
      <c r="W94" s="1">
        <v>105</v>
      </c>
      <c r="X94" s="1">
        <v>19</v>
      </c>
      <c r="Y94" s="1">
        <v>46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22</v>
      </c>
      <c r="AF94" s="1">
        <v>0</v>
      </c>
      <c r="AG94" s="1">
        <v>19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73</v>
      </c>
      <c r="AR94" s="1">
        <v>0</v>
      </c>
      <c r="AS94" s="1">
        <v>324</v>
      </c>
      <c r="AT94" s="1">
        <v>0</v>
      </c>
      <c r="AU94" s="1">
        <v>0</v>
      </c>
      <c r="AV94" s="1">
        <v>0</v>
      </c>
      <c r="AW94" s="1">
        <v>52</v>
      </c>
      <c r="AX94" s="1">
        <v>0</v>
      </c>
      <c r="AY94" s="1">
        <v>38</v>
      </c>
      <c r="AZ94" s="1">
        <v>0</v>
      </c>
      <c r="BA94" s="1">
        <v>0</v>
      </c>
    </row>
    <row r="95" spans="1:103">
      <c r="A95" s="19">
        <v>27021</v>
      </c>
      <c r="B95" s="1">
        <v>2024</v>
      </c>
      <c r="C95" s="1">
        <v>40439</v>
      </c>
      <c r="D95" s="1">
        <v>0</v>
      </c>
      <c r="E95" s="1">
        <v>0</v>
      </c>
      <c r="F95" s="1">
        <v>153</v>
      </c>
      <c r="G95" s="1">
        <v>280</v>
      </c>
      <c r="H95" s="1">
        <v>2095</v>
      </c>
      <c r="I95" s="1">
        <v>3192</v>
      </c>
      <c r="J95" s="1">
        <v>573</v>
      </c>
      <c r="K95" s="1">
        <v>986</v>
      </c>
      <c r="L95" s="1">
        <v>29</v>
      </c>
      <c r="M95" s="1">
        <v>25</v>
      </c>
      <c r="N95" s="1">
        <v>30</v>
      </c>
      <c r="O95" s="1">
        <v>546</v>
      </c>
      <c r="P95" s="1">
        <v>77</v>
      </c>
      <c r="Q95" s="1">
        <v>240</v>
      </c>
      <c r="R95" s="1">
        <v>0</v>
      </c>
      <c r="S95" s="1">
        <v>488</v>
      </c>
      <c r="T95" s="1">
        <v>117</v>
      </c>
      <c r="U95" s="1">
        <v>1406</v>
      </c>
      <c r="V95" s="1">
        <v>92</v>
      </c>
      <c r="W95" s="1">
        <v>1367</v>
      </c>
      <c r="X95" s="1">
        <v>346</v>
      </c>
      <c r="Y95" s="1">
        <v>1635</v>
      </c>
      <c r="Z95" s="1">
        <v>83</v>
      </c>
      <c r="AA95" s="1">
        <v>385</v>
      </c>
      <c r="AB95" s="1">
        <v>93</v>
      </c>
      <c r="AC95" s="1">
        <v>112</v>
      </c>
      <c r="AD95" s="1">
        <v>0</v>
      </c>
      <c r="AE95" s="1">
        <v>531</v>
      </c>
      <c r="AF95" s="1">
        <v>35</v>
      </c>
      <c r="AG95" s="1">
        <v>2097</v>
      </c>
      <c r="AH95" s="1">
        <v>0</v>
      </c>
      <c r="AI95" s="1">
        <v>182</v>
      </c>
      <c r="AJ95" s="1">
        <v>24</v>
      </c>
      <c r="AK95" s="1">
        <v>995</v>
      </c>
      <c r="AL95" s="1">
        <v>0</v>
      </c>
      <c r="AM95" s="1">
        <v>1062</v>
      </c>
      <c r="AN95" s="1">
        <v>0</v>
      </c>
      <c r="AO95" s="1">
        <v>906</v>
      </c>
      <c r="AP95" s="1">
        <v>0</v>
      </c>
      <c r="AQ95" s="1">
        <v>1169</v>
      </c>
      <c r="AR95" s="1">
        <v>0</v>
      </c>
      <c r="AS95" s="1">
        <v>2558</v>
      </c>
      <c r="AT95" s="1">
        <v>0</v>
      </c>
      <c r="AU95" s="1">
        <v>9829</v>
      </c>
      <c r="AV95" s="1">
        <v>0</v>
      </c>
      <c r="AW95" s="1">
        <v>2491</v>
      </c>
      <c r="AX95" s="1">
        <v>0</v>
      </c>
      <c r="AY95" s="1">
        <v>4208</v>
      </c>
      <c r="AZ95" s="1">
        <v>0</v>
      </c>
      <c r="BA95" s="1">
        <v>2</v>
      </c>
    </row>
    <row r="96" spans="1:103">
      <c r="A96" s="19">
        <v>27022</v>
      </c>
      <c r="B96" s="1">
        <v>2024</v>
      </c>
      <c r="C96" s="1">
        <v>7855</v>
      </c>
      <c r="D96" s="1">
        <v>0</v>
      </c>
      <c r="E96" s="1">
        <v>66</v>
      </c>
      <c r="F96" s="1">
        <v>42</v>
      </c>
      <c r="G96" s="1">
        <v>49</v>
      </c>
      <c r="H96" s="1">
        <v>665</v>
      </c>
      <c r="I96" s="1">
        <v>1043</v>
      </c>
      <c r="J96" s="1">
        <v>1503</v>
      </c>
      <c r="K96" s="1">
        <v>1992</v>
      </c>
      <c r="L96" s="1">
        <v>0</v>
      </c>
      <c r="M96" s="1">
        <v>92</v>
      </c>
      <c r="N96" s="1">
        <v>24</v>
      </c>
      <c r="O96" s="1">
        <v>23</v>
      </c>
      <c r="P96" s="1">
        <v>41</v>
      </c>
      <c r="Q96" s="1">
        <v>152</v>
      </c>
      <c r="R96" s="1">
        <v>37</v>
      </c>
      <c r="S96" s="1">
        <v>413</v>
      </c>
      <c r="T96" s="1">
        <v>0</v>
      </c>
      <c r="U96" s="1">
        <v>45</v>
      </c>
      <c r="V96" s="1">
        <v>8</v>
      </c>
      <c r="W96" s="1">
        <v>18</v>
      </c>
      <c r="X96" s="1">
        <v>0</v>
      </c>
      <c r="Y96" s="1">
        <v>148</v>
      </c>
      <c r="Z96" s="1">
        <v>103</v>
      </c>
      <c r="AA96" s="1">
        <v>86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6</v>
      </c>
      <c r="AH96" s="1">
        <v>41</v>
      </c>
      <c r="AI96" s="1">
        <v>52</v>
      </c>
      <c r="AJ96" s="1">
        <v>157</v>
      </c>
      <c r="AK96" s="1">
        <v>787</v>
      </c>
      <c r="AL96" s="1">
        <v>0</v>
      </c>
      <c r="AM96" s="1">
        <v>30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58</v>
      </c>
      <c r="AT96" s="1">
        <v>0</v>
      </c>
      <c r="AU96" s="1">
        <v>27</v>
      </c>
      <c r="AV96" s="1">
        <v>0</v>
      </c>
      <c r="AW96" s="1">
        <v>40</v>
      </c>
      <c r="AX96" s="1">
        <v>0</v>
      </c>
      <c r="AY96" s="1">
        <v>107</v>
      </c>
      <c r="AZ96" s="1">
        <v>0</v>
      </c>
      <c r="BA96" s="1">
        <v>0</v>
      </c>
    </row>
    <row r="97" spans="1:103">
      <c r="A97" s="19">
        <v>27025</v>
      </c>
      <c r="B97" s="1">
        <v>2024</v>
      </c>
      <c r="C97" s="1">
        <v>50689</v>
      </c>
      <c r="D97" s="1">
        <v>0</v>
      </c>
      <c r="E97" s="1">
        <v>0</v>
      </c>
      <c r="F97" s="1">
        <v>0</v>
      </c>
      <c r="G97" s="1">
        <v>149</v>
      </c>
      <c r="H97" s="1">
        <v>1764</v>
      </c>
      <c r="I97" s="1">
        <v>2372</v>
      </c>
      <c r="J97" s="1">
        <v>1945</v>
      </c>
      <c r="K97" s="1">
        <v>1554</v>
      </c>
      <c r="L97" s="1">
        <v>0</v>
      </c>
      <c r="M97" s="1">
        <v>0</v>
      </c>
      <c r="N97" s="1">
        <v>0</v>
      </c>
      <c r="O97" s="1">
        <v>14</v>
      </c>
      <c r="P97" s="1">
        <v>0</v>
      </c>
      <c r="Q97" s="1">
        <v>81</v>
      </c>
      <c r="R97" s="1">
        <v>0</v>
      </c>
      <c r="S97" s="1">
        <v>0</v>
      </c>
      <c r="T97" s="1">
        <v>0</v>
      </c>
      <c r="U97" s="1">
        <v>573</v>
      </c>
      <c r="V97" s="1">
        <v>0</v>
      </c>
      <c r="W97" s="1">
        <v>3662</v>
      </c>
      <c r="X97" s="1">
        <v>0</v>
      </c>
      <c r="Y97" s="1">
        <v>2238</v>
      </c>
      <c r="Z97" s="1">
        <v>178</v>
      </c>
      <c r="AA97" s="1">
        <v>594</v>
      </c>
      <c r="AB97" s="1">
        <v>0</v>
      </c>
      <c r="AC97" s="1">
        <v>194</v>
      </c>
      <c r="AD97" s="1">
        <v>0</v>
      </c>
      <c r="AE97" s="1">
        <v>1839</v>
      </c>
      <c r="AF97" s="1">
        <v>160</v>
      </c>
      <c r="AG97" s="1">
        <v>1866</v>
      </c>
      <c r="AH97" s="1">
        <v>0</v>
      </c>
      <c r="AI97" s="1">
        <v>695</v>
      </c>
      <c r="AJ97" s="1">
        <v>0</v>
      </c>
      <c r="AK97" s="1">
        <v>1273</v>
      </c>
      <c r="AL97" s="1">
        <v>0</v>
      </c>
      <c r="AM97" s="1">
        <v>2826</v>
      </c>
      <c r="AN97" s="1">
        <v>0</v>
      </c>
      <c r="AO97" s="1">
        <v>2273</v>
      </c>
      <c r="AP97" s="1">
        <v>0</v>
      </c>
      <c r="AQ97" s="1">
        <v>989</v>
      </c>
      <c r="AR97" s="1">
        <v>0</v>
      </c>
      <c r="AS97" s="1">
        <v>4618</v>
      </c>
      <c r="AT97" s="1">
        <v>0</v>
      </c>
      <c r="AU97" s="1">
        <v>6946</v>
      </c>
      <c r="AV97" s="1">
        <v>0</v>
      </c>
      <c r="AW97" s="1">
        <v>3522</v>
      </c>
      <c r="AX97" s="1">
        <v>0</v>
      </c>
      <c r="AY97" s="1">
        <v>8364</v>
      </c>
      <c r="AZ97" s="1">
        <v>0</v>
      </c>
      <c r="BA97" s="1">
        <v>0</v>
      </c>
    </row>
    <row r="98" spans="1:103">
      <c r="A98" s="19">
        <v>27026</v>
      </c>
      <c r="B98" s="1">
        <v>2024</v>
      </c>
      <c r="C98" s="1">
        <v>37976</v>
      </c>
      <c r="D98" s="1">
        <v>0</v>
      </c>
      <c r="E98" s="1">
        <v>0</v>
      </c>
      <c r="F98" s="1">
        <v>159</v>
      </c>
      <c r="G98" s="1">
        <v>491</v>
      </c>
      <c r="H98" s="1">
        <v>1602</v>
      </c>
      <c r="I98" s="1">
        <v>2855</v>
      </c>
      <c r="J98" s="1">
        <v>1314</v>
      </c>
      <c r="K98" s="1">
        <v>645</v>
      </c>
      <c r="L98" s="1">
        <v>0</v>
      </c>
      <c r="M98" s="1">
        <v>1</v>
      </c>
      <c r="N98" s="1">
        <v>34</v>
      </c>
      <c r="O98" s="1">
        <v>326</v>
      </c>
      <c r="P98" s="1">
        <v>33</v>
      </c>
      <c r="Q98" s="1">
        <v>55</v>
      </c>
      <c r="R98" s="1">
        <v>31</v>
      </c>
      <c r="S98" s="1">
        <v>44</v>
      </c>
      <c r="T98" s="1">
        <v>8</v>
      </c>
      <c r="U98" s="1">
        <v>358</v>
      </c>
      <c r="V98" s="1">
        <v>201</v>
      </c>
      <c r="W98" s="1">
        <v>1253</v>
      </c>
      <c r="X98" s="1">
        <v>0</v>
      </c>
      <c r="Y98" s="1">
        <v>1529</v>
      </c>
      <c r="Z98" s="1">
        <v>5</v>
      </c>
      <c r="AA98" s="1">
        <v>91</v>
      </c>
      <c r="AB98" s="1">
        <v>0</v>
      </c>
      <c r="AC98" s="1">
        <v>563</v>
      </c>
      <c r="AD98" s="1">
        <v>0</v>
      </c>
      <c r="AE98" s="1">
        <v>1242</v>
      </c>
      <c r="AF98" s="1">
        <v>174</v>
      </c>
      <c r="AG98" s="1">
        <v>2406</v>
      </c>
      <c r="AH98" s="1">
        <v>0</v>
      </c>
      <c r="AI98" s="1">
        <v>164</v>
      </c>
      <c r="AJ98" s="1">
        <v>22</v>
      </c>
      <c r="AK98" s="1">
        <v>514</v>
      </c>
      <c r="AL98" s="1">
        <v>0</v>
      </c>
      <c r="AM98" s="1">
        <v>987</v>
      </c>
      <c r="AN98" s="1">
        <v>0</v>
      </c>
      <c r="AO98" s="1">
        <v>152</v>
      </c>
      <c r="AP98" s="1">
        <v>0</v>
      </c>
      <c r="AQ98" s="1">
        <v>422</v>
      </c>
      <c r="AR98" s="1">
        <v>0</v>
      </c>
      <c r="AS98" s="1">
        <v>4049</v>
      </c>
      <c r="AT98" s="1">
        <v>0</v>
      </c>
      <c r="AU98" s="1">
        <v>12479</v>
      </c>
      <c r="AV98" s="1">
        <v>0</v>
      </c>
      <c r="AW98" s="1">
        <v>1445</v>
      </c>
      <c r="AX98" s="1">
        <v>0</v>
      </c>
      <c r="AY98" s="1">
        <v>2322</v>
      </c>
      <c r="AZ98" s="1">
        <v>0</v>
      </c>
      <c r="BA98" s="1">
        <v>0</v>
      </c>
    </row>
    <row r="99" spans="1:103">
      <c r="A99" s="19">
        <v>27027</v>
      </c>
      <c r="B99" s="1">
        <v>2024</v>
      </c>
      <c r="C99" s="1">
        <v>33003</v>
      </c>
      <c r="D99" s="1">
        <v>0</v>
      </c>
      <c r="E99" s="1">
        <v>0</v>
      </c>
      <c r="F99" s="1">
        <v>0</v>
      </c>
      <c r="G99" s="1">
        <v>706</v>
      </c>
      <c r="H99" s="1">
        <v>2937</v>
      </c>
      <c r="I99" s="1">
        <v>5327</v>
      </c>
      <c r="J99" s="1">
        <v>690</v>
      </c>
      <c r="K99" s="1">
        <v>403</v>
      </c>
      <c r="L99" s="1">
        <v>29</v>
      </c>
      <c r="M99" s="1">
        <v>0</v>
      </c>
      <c r="N99" s="1">
        <v>82</v>
      </c>
      <c r="O99" s="1">
        <v>375</v>
      </c>
      <c r="P99" s="1">
        <v>44</v>
      </c>
      <c r="Q99" s="1">
        <v>702</v>
      </c>
      <c r="R99" s="1">
        <v>12</v>
      </c>
      <c r="S99" s="1">
        <v>578</v>
      </c>
      <c r="T99" s="1">
        <v>0</v>
      </c>
      <c r="U99" s="1">
        <v>109</v>
      </c>
      <c r="V99" s="1">
        <v>0</v>
      </c>
      <c r="W99" s="1">
        <v>713</v>
      </c>
      <c r="X99" s="1">
        <v>365</v>
      </c>
      <c r="Y99" s="1">
        <v>1891</v>
      </c>
      <c r="Z99" s="1">
        <v>14</v>
      </c>
      <c r="AA99" s="1">
        <v>337</v>
      </c>
      <c r="AB99" s="1">
        <v>0</v>
      </c>
      <c r="AC99" s="1">
        <v>253</v>
      </c>
      <c r="AD99" s="1">
        <v>88</v>
      </c>
      <c r="AE99" s="1">
        <v>877</v>
      </c>
      <c r="AF99" s="1">
        <v>2</v>
      </c>
      <c r="AG99" s="1">
        <v>3019</v>
      </c>
      <c r="AH99" s="1">
        <v>0</v>
      </c>
      <c r="AI99" s="1">
        <v>122</v>
      </c>
      <c r="AJ99" s="1">
        <v>197</v>
      </c>
      <c r="AK99" s="1">
        <v>899</v>
      </c>
      <c r="AL99" s="1">
        <v>0</v>
      </c>
      <c r="AM99" s="1">
        <v>403</v>
      </c>
      <c r="AN99" s="1">
        <v>0</v>
      </c>
      <c r="AO99" s="1">
        <v>566</v>
      </c>
      <c r="AP99" s="1">
        <v>0</v>
      </c>
      <c r="AQ99" s="1">
        <v>448</v>
      </c>
      <c r="AR99" s="1">
        <v>0</v>
      </c>
      <c r="AS99" s="1">
        <v>1376</v>
      </c>
      <c r="AT99" s="1">
        <v>0</v>
      </c>
      <c r="AU99" s="1">
        <v>7451</v>
      </c>
      <c r="AV99" s="1">
        <v>0</v>
      </c>
      <c r="AW99" s="1">
        <v>808</v>
      </c>
      <c r="AX99" s="1">
        <v>0</v>
      </c>
      <c r="AY99" s="1">
        <v>1136</v>
      </c>
      <c r="AZ99" s="1">
        <v>0</v>
      </c>
      <c r="BA99" s="1">
        <v>44</v>
      </c>
    </row>
    <row r="100" spans="1:103">
      <c r="A100" s="19">
        <v>27033</v>
      </c>
      <c r="B100" s="1">
        <v>2024</v>
      </c>
      <c r="C100" s="1">
        <v>33666</v>
      </c>
      <c r="D100" s="1">
        <v>0</v>
      </c>
      <c r="E100" s="1">
        <v>991</v>
      </c>
      <c r="F100" s="1">
        <v>31</v>
      </c>
      <c r="G100" s="1">
        <v>691</v>
      </c>
      <c r="H100" s="1">
        <v>2301</v>
      </c>
      <c r="I100" s="1">
        <v>563</v>
      </c>
      <c r="J100" s="1">
        <v>558</v>
      </c>
      <c r="K100" s="1">
        <v>1228</v>
      </c>
      <c r="L100" s="1">
        <v>0</v>
      </c>
      <c r="M100" s="1">
        <v>273</v>
      </c>
      <c r="N100" s="1">
        <v>120</v>
      </c>
      <c r="O100" s="1">
        <v>436</v>
      </c>
      <c r="P100" s="1">
        <v>13</v>
      </c>
      <c r="Q100" s="1">
        <v>131</v>
      </c>
      <c r="R100" s="1">
        <v>0</v>
      </c>
      <c r="S100" s="1">
        <v>13</v>
      </c>
      <c r="T100" s="1">
        <v>92</v>
      </c>
      <c r="U100" s="1">
        <v>992</v>
      </c>
      <c r="V100" s="1">
        <v>17</v>
      </c>
      <c r="W100" s="1">
        <v>803</v>
      </c>
      <c r="X100" s="1">
        <v>17</v>
      </c>
      <c r="Y100" s="1">
        <v>234</v>
      </c>
      <c r="Z100" s="1">
        <v>69</v>
      </c>
      <c r="AA100" s="1">
        <v>526</v>
      </c>
      <c r="AB100" s="1">
        <v>0</v>
      </c>
      <c r="AC100" s="1">
        <v>92</v>
      </c>
      <c r="AD100" s="1">
        <v>99</v>
      </c>
      <c r="AE100" s="1">
        <v>1448</v>
      </c>
      <c r="AF100" s="1">
        <v>0</v>
      </c>
      <c r="AG100" s="1">
        <v>510</v>
      </c>
      <c r="AH100" s="1">
        <v>0</v>
      </c>
      <c r="AI100" s="1">
        <v>391</v>
      </c>
      <c r="AJ100" s="1">
        <v>279</v>
      </c>
      <c r="AK100" s="1">
        <v>2362</v>
      </c>
      <c r="AL100" s="1">
        <v>0</v>
      </c>
      <c r="AM100" s="1">
        <v>392</v>
      </c>
      <c r="AN100" s="1">
        <v>0</v>
      </c>
      <c r="AO100" s="1">
        <v>766</v>
      </c>
      <c r="AP100" s="1">
        <v>0</v>
      </c>
      <c r="AQ100" s="1">
        <v>1224</v>
      </c>
      <c r="AR100" s="1">
        <v>0</v>
      </c>
      <c r="AS100" s="1">
        <v>2624</v>
      </c>
      <c r="AT100" s="1">
        <v>0</v>
      </c>
      <c r="AU100" s="1">
        <v>3384</v>
      </c>
      <c r="AV100" s="1">
        <v>0</v>
      </c>
      <c r="AW100" s="1">
        <v>1449</v>
      </c>
      <c r="AX100" s="1">
        <v>0</v>
      </c>
      <c r="AY100" s="1">
        <v>7416</v>
      </c>
      <c r="AZ100" s="1">
        <v>0</v>
      </c>
      <c r="BA100" s="1">
        <v>1131</v>
      </c>
    </row>
    <row r="101" spans="1:103">
      <c r="A101" s="19">
        <v>27034</v>
      </c>
      <c r="B101" s="1">
        <v>2024</v>
      </c>
      <c r="C101" s="1">
        <v>31644</v>
      </c>
      <c r="D101" s="1">
        <v>0</v>
      </c>
      <c r="E101" s="1">
        <v>61</v>
      </c>
      <c r="F101" s="1">
        <v>0</v>
      </c>
      <c r="G101" s="1">
        <v>230</v>
      </c>
      <c r="H101" s="1">
        <v>576</v>
      </c>
      <c r="I101" s="1">
        <v>1231</v>
      </c>
      <c r="J101" s="1">
        <v>467</v>
      </c>
      <c r="K101" s="1">
        <v>1179</v>
      </c>
      <c r="L101" s="1">
        <v>0</v>
      </c>
      <c r="M101" s="1">
        <v>0</v>
      </c>
      <c r="N101" s="1">
        <v>0</v>
      </c>
      <c r="O101" s="1">
        <v>132</v>
      </c>
      <c r="P101" s="1">
        <v>0</v>
      </c>
      <c r="Q101" s="1">
        <v>223</v>
      </c>
      <c r="R101" s="1">
        <v>0</v>
      </c>
      <c r="S101" s="1">
        <v>123</v>
      </c>
      <c r="T101" s="1">
        <v>0</v>
      </c>
      <c r="U101" s="1">
        <v>342</v>
      </c>
      <c r="V101" s="1">
        <v>139</v>
      </c>
      <c r="W101" s="1">
        <v>245</v>
      </c>
      <c r="X101" s="1">
        <v>26</v>
      </c>
      <c r="Y101" s="1">
        <v>984</v>
      </c>
      <c r="Z101" s="1">
        <v>29</v>
      </c>
      <c r="AA101" s="1">
        <v>522</v>
      </c>
      <c r="AB101" s="1">
        <v>265</v>
      </c>
      <c r="AC101" s="1">
        <v>0</v>
      </c>
      <c r="AD101" s="1">
        <v>88</v>
      </c>
      <c r="AE101" s="1">
        <v>560</v>
      </c>
      <c r="AF101" s="1">
        <v>63</v>
      </c>
      <c r="AG101" s="1">
        <v>287</v>
      </c>
      <c r="AH101" s="1">
        <v>89</v>
      </c>
      <c r="AI101" s="1">
        <v>115</v>
      </c>
      <c r="AJ101" s="1">
        <v>159</v>
      </c>
      <c r="AK101" s="1">
        <v>1611</v>
      </c>
      <c r="AL101" s="1">
        <v>0</v>
      </c>
      <c r="AM101" s="1">
        <v>1289</v>
      </c>
      <c r="AN101" s="1">
        <v>0</v>
      </c>
      <c r="AO101" s="1">
        <v>4934</v>
      </c>
      <c r="AP101" s="1">
        <v>0</v>
      </c>
      <c r="AQ101" s="1">
        <v>267</v>
      </c>
      <c r="AR101" s="1">
        <v>0</v>
      </c>
      <c r="AS101" s="1">
        <v>1506</v>
      </c>
      <c r="AT101" s="1">
        <v>0</v>
      </c>
      <c r="AU101" s="1">
        <v>1533</v>
      </c>
      <c r="AV101" s="1">
        <v>0</v>
      </c>
      <c r="AW101" s="1">
        <v>1049</v>
      </c>
      <c r="AX101" s="1">
        <v>0</v>
      </c>
      <c r="AY101" s="1">
        <v>10415</v>
      </c>
      <c r="AZ101" s="1">
        <v>0</v>
      </c>
      <c r="BA101" s="1">
        <v>905</v>
      </c>
    </row>
    <row r="102" spans="1:103">
      <c r="A102" s="19">
        <v>27035</v>
      </c>
      <c r="B102" s="1">
        <v>2024</v>
      </c>
      <c r="C102" s="1">
        <v>27343</v>
      </c>
      <c r="D102" s="1">
        <v>0</v>
      </c>
      <c r="E102" s="1">
        <v>0</v>
      </c>
      <c r="F102" s="1">
        <v>119</v>
      </c>
      <c r="G102" s="1">
        <v>156</v>
      </c>
      <c r="H102" s="1">
        <v>1134</v>
      </c>
      <c r="I102" s="1">
        <v>4713</v>
      </c>
      <c r="J102" s="1">
        <v>820</v>
      </c>
      <c r="K102" s="1">
        <v>48</v>
      </c>
      <c r="L102" s="1">
        <v>0</v>
      </c>
      <c r="M102" s="1">
        <v>86</v>
      </c>
      <c r="N102" s="1">
        <v>0</v>
      </c>
      <c r="O102" s="1">
        <v>264</v>
      </c>
      <c r="P102" s="1">
        <v>0</v>
      </c>
      <c r="Q102" s="1">
        <v>1321</v>
      </c>
      <c r="R102" s="1">
        <v>0</v>
      </c>
      <c r="S102" s="1">
        <v>2857</v>
      </c>
      <c r="T102" s="1">
        <v>0</v>
      </c>
      <c r="U102" s="1">
        <v>144</v>
      </c>
      <c r="V102" s="1">
        <v>0</v>
      </c>
      <c r="W102" s="1">
        <v>410</v>
      </c>
      <c r="X102" s="1">
        <v>0</v>
      </c>
      <c r="Y102" s="1">
        <v>1037</v>
      </c>
      <c r="Z102" s="1">
        <v>0</v>
      </c>
      <c r="AA102" s="1">
        <v>411</v>
      </c>
      <c r="AB102" s="1">
        <v>5</v>
      </c>
      <c r="AC102" s="1">
        <v>43</v>
      </c>
      <c r="AD102" s="1">
        <v>0</v>
      </c>
      <c r="AE102" s="1">
        <v>824</v>
      </c>
      <c r="AF102" s="1">
        <v>0</v>
      </c>
      <c r="AG102" s="1">
        <v>2431</v>
      </c>
      <c r="AH102" s="1">
        <v>0</v>
      </c>
      <c r="AI102" s="1">
        <v>870</v>
      </c>
      <c r="AJ102" s="1">
        <v>0</v>
      </c>
      <c r="AK102" s="1">
        <v>317</v>
      </c>
      <c r="AL102" s="1">
        <v>0</v>
      </c>
      <c r="AM102" s="1">
        <v>449</v>
      </c>
      <c r="AN102" s="1">
        <v>0</v>
      </c>
      <c r="AO102" s="1">
        <v>5</v>
      </c>
      <c r="AP102" s="1">
        <v>0</v>
      </c>
      <c r="AQ102" s="1">
        <v>132</v>
      </c>
      <c r="AR102" s="1">
        <v>0</v>
      </c>
      <c r="AS102" s="1">
        <v>296</v>
      </c>
      <c r="AT102" s="1">
        <v>0</v>
      </c>
      <c r="AU102" s="1">
        <v>5881</v>
      </c>
      <c r="AV102" s="1">
        <v>0</v>
      </c>
      <c r="AW102" s="1">
        <v>1386</v>
      </c>
      <c r="AX102" s="1">
        <v>0</v>
      </c>
      <c r="AY102" s="1">
        <v>201</v>
      </c>
      <c r="AZ102" s="1">
        <v>0</v>
      </c>
      <c r="BA102" s="1">
        <v>983</v>
      </c>
    </row>
    <row r="103" spans="1:103">
      <c r="A103" s="19">
        <v>27037</v>
      </c>
      <c r="B103" s="1">
        <v>2024</v>
      </c>
      <c r="C103" s="1">
        <v>22859</v>
      </c>
      <c r="D103" s="1">
        <v>0</v>
      </c>
      <c r="E103" s="1">
        <v>0</v>
      </c>
      <c r="F103" s="1">
        <v>220</v>
      </c>
      <c r="G103" s="1">
        <v>665</v>
      </c>
      <c r="H103" s="1">
        <v>1111</v>
      </c>
      <c r="I103" s="1">
        <v>1716</v>
      </c>
      <c r="J103" s="1">
        <v>1061</v>
      </c>
      <c r="K103" s="1">
        <v>2936</v>
      </c>
      <c r="L103" s="1">
        <v>0</v>
      </c>
      <c r="M103" s="1">
        <v>63</v>
      </c>
      <c r="N103" s="1">
        <v>119</v>
      </c>
      <c r="O103" s="1">
        <v>79</v>
      </c>
      <c r="P103" s="1">
        <v>0</v>
      </c>
      <c r="Q103" s="1">
        <v>128</v>
      </c>
      <c r="R103" s="1">
        <v>261</v>
      </c>
      <c r="S103" s="1">
        <v>382</v>
      </c>
      <c r="T103" s="1">
        <v>125</v>
      </c>
      <c r="U103" s="1">
        <v>747</v>
      </c>
      <c r="V103" s="1">
        <v>14</v>
      </c>
      <c r="W103" s="1">
        <v>83</v>
      </c>
      <c r="X103" s="1">
        <v>98</v>
      </c>
      <c r="Y103" s="1">
        <v>218</v>
      </c>
      <c r="Z103" s="1">
        <v>193</v>
      </c>
      <c r="AA103" s="1">
        <v>139</v>
      </c>
      <c r="AB103" s="1">
        <v>0</v>
      </c>
      <c r="AC103" s="1">
        <v>17</v>
      </c>
      <c r="AD103" s="1">
        <v>60</v>
      </c>
      <c r="AE103" s="1">
        <v>478</v>
      </c>
      <c r="AF103" s="1">
        <v>173</v>
      </c>
      <c r="AG103" s="1">
        <v>144</v>
      </c>
      <c r="AH103" s="1">
        <v>60</v>
      </c>
      <c r="AI103" s="1">
        <v>361</v>
      </c>
      <c r="AJ103" s="1">
        <v>229</v>
      </c>
      <c r="AK103" s="1">
        <v>1292</v>
      </c>
      <c r="AL103" s="1">
        <v>0</v>
      </c>
      <c r="AM103" s="1">
        <v>416</v>
      </c>
      <c r="AN103" s="1">
        <v>0</v>
      </c>
      <c r="AO103" s="1">
        <v>294</v>
      </c>
      <c r="AP103" s="1">
        <v>0</v>
      </c>
      <c r="AQ103" s="1">
        <v>136</v>
      </c>
      <c r="AR103" s="1">
        <v>1</v>
      </c>
      <c r="AS103" s="1">
        <v>647</v>
      </c>
      <c r="AT103" s="1">
        <v>0</v>
      </c>
      <c r="AU103" s="1">
        <v>1230</v>
      </c>
      <c r="AV103" s="1">
        <v>0</v>
      </c>
      <c r="AW103" s="1">
        <v>984</v>
      </c>
      <c r="AX103" s="1">
        <v>0</v>
      </c>
      <c r="AY103" s="1">
        <v>5979</v>
      </c>
      <c r="AZ103" s="1">
        <v>0</v>
      </c>
      <c r="BA103" s="1">
        <v>0</v>
      </c>
    </row>
    <row r="104" spans="1:103">
      <c r="A104" s="19">
        <v>27038</v>
      </c>
      <c r="B104" s="1">
        <v>2024</v>
      </c>
      <c r="C104" s="1">
        <v>16340</v>
      </c>
      <c r="D104" s="1">
        <v>0</v>
      </c>
      <c r="E104" s="1">
        <v>0</v>
      </c>
      <c r="F104" s="1">
        <v>24</v>
      </c>
      <c r="G104" s="1">
        <v>231</v>
      </c>
      <c r="H104" s="1">
        <v>1224</v>
      </c>
      <c r="I104" s="1">
        <v>1531</v>
      </c>
      <c r="J104" s="1">
        <v>195</v>
      </c>
      <c r="K104" s="1">
        <v>450</v>
      </c>
      <c r="L104" s="1">
        <v>0</v>
      </c>
      <c r="M104" s="1">
        <v>0</v>
      </c>
      <c r="N104" s="1">
        <v>112</v>
      </c>
      <c r="O104" s="1">
        <v>312</v>
      </c>
      <c r="P104" s="1">
        <v>95</v>
      </c>
      <c r="Q104" s="1">
        <v>222</v>
      </c>
      <c r="R104" s="1">
        <v>29</v>
      </c>
      <c r="S104" s="1">
        <v>48</v>
      </c>
      <c r="T104" s="1">
        <v>0</v>
      </c>
      <c r="U104" s="1">
        <v>235</v>
      </c>
      <c r="V104" s="1">
        <v>35</v>
      </c>
      <c r="W104" s="1">
        <v>533</v>
      </c>
      <c r="X104" s="1">
        <v>52</v>
      </c>
      <c r="Y104" s="1">
        <v>650</v>
      </c>
      <c r="Z104" s="1">
        <v>0</v>
      </c>
      <c r="AA104" s="1">
        <v>0</v>
      </c>
      <c r="AB104" s="1">
        <v>0</v>
      </c>
      <c r="AC104" s="1">
        <v>350</v>
      </c>
      <c r="AD104" s="1">
        <v>73</v>
      </c>
      <c r="AE104" s="1">
        <v>387</v>
      </c>
      <c r="AF104" s="1">
        <v>212</v>
      </c>
      <c r="AG104" s="1">
        <v>737</v>
      </c>
      <c r="AH104" s="1">
        <v>249</v>
      </c>
      <c r="AI104" s="1">
        <v>37</v>
      </c>
      <c r="AJ104" s="1">
        <v>33</v>
      </c>
      <c r="AK104" s="1">
        <v>728</v>
      </c>
      <c r="AL104" s="1">
        <v>0</v>
      </c>
      <c r="AM104" s="1">
        <v>459</v>
      </c>
      <c r="AN104" s="1">
        <v>0</v>
      </c>
      <c r="AO104" s="1">
        <v>808</v>
      </c>
      <c r="AP104" s="1">
        <v>0</v>
      </c>
      <c r="AQ104" s="1">
        <v>399</v>
      </c>
      <c r="AR104" s="1">
        <v>0</v>
      </c>
      <c r="AS104" s="1">
        <v>1077</v>
      </c>
      <c r="AT104" s="1">
        <v>0</v>
      </c>
      <c r="AU104" s="1">
        <v>1071</v>
      </c>
      <c r="AV104" s="1">
        <v>0</v>
      </c>
      <c r="AW104" s="1">
        <v>316</v>
      </c>
      <c r="AX104" s="1">
        <v>0</v>
      </c>
      <c r="AY104" s="1">
        <v>2858</v>
      </c>
      <c r="AZ104" s="1">
        <v>0</v>
      </c>
      <c r="BA104" s="1">
        <v>568</v>
      </c>
    </row>
    <row r="105" spans="1:103">
      <c r="A105" s="19">
        <v>27039</v>
      </c>
      <c r="B105" s="1">
        <v>2024</v>
      </c>
      <c r="C105" s="1">
        <v>32926</v>
      </c>
      <c r="D105" s="1">
        <v>0</v>
      </c>
      <c r="E105" s="1">
        <v>0</v>
      </c>
      <c r="F105" s="1">
        <v>624</v>
      </c>
      <c r="G105" s="1">
        <v>391</v>
      </c>
      <c r="H105" s="1">
        <v>1801</v>
      </c>
      <c r="I105" s="1">
        <v>3030</v>
      </c>
      <c r="J105" s="1">
        <v>675</v>
      </c>
      <c r="K105" s="1">
        <v>424</v>
      </c>
      <c r="L105" s="1">
        <v>0</v>
      </c>
      <c r="M105" s="1">
        <v>22</v>
      </c>
      <c r="N105" s="1">
        <v>0</v>
      </c>
      <c r="O105" s="1">
        <v>322</v>
      </c>
      <c r="P105" s="1">
        <v>0</v>
      </c>
      <c r="Q105" s="1">
        <v>85</v>
      </c>
      <c r="R105" s="1">
        <v>0</v>
      </c>
      <c r="S105" s="1">
        <v>69</v>
      </c>
      <c r="T105" s="1">
        <v>0</v>
      </c>
      <c r="U105" s="1">
        <v>160</v>
      </c>
      <c r="V105" s="1">
        <v>0</v>
      </c>
      <c r="W105" s="1">
        <v>339</v>
      </c>
      <c r="X105" s="1">
        <v>0</v>
      </c>
      <c r="Y105" s="1">
        <v>619</v>
      </c>
      <c r="Z105" s="1">
        <v>0</v>
      </c>
      <c r="AA105" s="1">
        <v>81</v>
      </c>
      <c r="AB105" s="1">
        <v>0</v>
      </c>
      <c r="AC105" s="1">
        <v>787</v>
      </c>
      <c r="AD105" s="1">
        <v>62</v>
      </c>
      <c r="AE105" s="1">
        <v>683</v>
      </c>
      <c r="AF105" s="1">
        <v>0</v>
      </c>
      <c r="AG105" s="1">
        <v>736</v>
      </c>
      <c r="AH105" s="1">
        <v>0</v>
      </c>
      <c r="AI105" s="1">
        <v>149</v>
      </c>
      <c r="AJ105" s="1">
        <v>0</v>
      </c>
      <c r="AK105" s="1">
        <v>672</v>
      </c>
      <c r="AL105" s="1">
        <v>0</v>
      </c>
      <c r="AM105" s="1">
        <v>2096</v>
      </c>
      <c r="AN105" s="1">
        <v>0</v>
      </c>
      <c r="AO105" s="1">
        <v>2317</v>
      </c>
      <c r="AP105" s="1">
        <v>0</v>
      </c>
      <c r="AQ105" s="1">
        <v>2787</v>
      </c>
      <c r="AR105" s="1">
        <v>0</v>
      </c>
      <c r="AS105" s="1">
        <v>2665</v>
      </c>
      <c r="AT105" s="1">
        <v>0</v>
      </c>
      <c r="AU105" s="1">
        <v>4633</v>
      </c>
      <c r="AV105" s="1">
        <v>0</v>
      </c>
      <c r="AW105" s="1">
        <v>1666</v>
      </c>
      <c r="AX105" s="1">
        <v>0</v>
      </c>
      <c r="AY105" s="1">
        <v>3820</v>
      </c>
      <c r="AZ105" s="1">
        <v>0</v>
      </c>
      <c r="BA105" s="1">
        <v>1211</v>
      </c>
    </row>
    <row r="106" spans="1:103">
      <c r="A106" s="19">
        <v>27040</v>
      </c>
      <c r="B106" s="1">
        <v>2024</v>
      </c>
      <c r="C106" s="1">
        <v>21152</v>
      </c>
      <c r="D106" s="1">
        <v>0</v>
      </c>
      <c r="E106" s="1">
        <v>0</v>
      </c>
      <c r="F106" s="1">
        <v>33</v>
      </c>
      <c r="G106" s="1">
        <v>80</v>
      </c>
      <c r="H106" s="1">
        <v>1197</v>
      </c>
      <c r="I106" s="1">
        <v>1899</v>
      </c>
      <c r="J106" s="1">
        <v>1525</v>
      </c>
      <c r="K106" s="1">
        <v>30</v>
      </c>
      <c r="L106" s="1">
        <v>29</v>
      </c>
      <c r="M106" s="1">
        <v>0</v>
      </c>
      <c r="N106" s="1">
        <v>0</v>
      </c>
      <c r="O106" s="1">
        <v>0</v>
      </c>
      <c r="P106" s="1">
        <v>0</v>
      </c>
      <c r="Q106" s="1">
        <v>480</v>
      </c>
      <c r="R106" s="1">
        <v>0</v>
      </c>
      <c r="S106" s="1">
        <v>245</v>
      </c>
      <c r="T106" s="1">
        <v>0</v>
      </c>
      <c r="U106" s="1">
        <v>276</v>
      </c>
      <c r="V106" s="1">
        <v>2</v>
      </c>
      <c r="W106" s="1">
        <v>284</v>
      </c>
      <c r="X106" s="1">
        <v>114</v>
      </c>
      <c r="Y106" s="1">
        <v>2383</v>
      </c>
      <c r="Z106" s="1">
        <v>96</v>
      </c>
      <c r="AA106" s="1">
        <v>348</v>
      </c>
      <c r="AB106" s="1">
        <v>0</v>
      </c>
      <c r="AC106" s="1">
        <v>0</v>
      </c>
      <c r="AD106" s="1">
        <v>0</v>
      </c>
      <c r="AE106" s="1">
        <v>364</v>
      </c>
      <c r="AF106" s="1">
        <v>92</v>
      </c>
      <c r="AG106" s="1">
        <v>2958</v>
      </c>
      <c r="AH106" s="1">
        <v>67</v>
      </c>
      <c r="AI106" s="1">
        <v>419</v>
      </c>
      <c r="AJ106" s="1">
        <v>6</v>
      </c>
      <c r="AK106" s="1">
        <v>124</v>
      </c>
      <c r="AL106" s="1">
        <v>0</v>
      </c>
      <c r="AM106" s="1">
        <v>305</v>
      </c>
      <c r="AN106" s="1">
        <v>0</v>
      </c>
      <c r="AO106" s="1">
        <v>115</v>
      </c>
      <c r="AP106" s="1">
        <v>0</v>
      </c>
      <c r="AQ106" s="1">
        <v>568</v>
      </c>
      <c r="AR106" s="1">
        <v>0</v>
      </c>
      <c r="AS106" s="1">
        <v>1427</v>
      </c>
      <c r="AT106" s="1">
        <v>0</v>
      </c>
      <c r="AU106" s="1">
        <v>3448</v>
      </c>
      <c r="AV106" s="1">
        <v>0</v>
      </c>
      <c r="AW106" s="1">
        <v>978</v>
      </c>
      <c r="AX106" s="1">
        <v>0</v>
      </c>
      <c r="AY106" s="1">
        <v>1045</v>
      </c>
      <c r="AZ106" s="1">
        <v>0</v>
      </c>
      <c r="BA106" s="1">
        <v>215</v>
      </c>
    </row>
    <row r="107" spans="1:103">
      <c r="A107" s="19">
        <v>27041</v>
      </c>
      <c r="B107" s="1">
        <v>2024</v>
      </c>
      <c r="C107" s="1">
        <v>29791</v>
      </c>
      <c r="D107" s="1">
        <v>3932</v>
      </c>
      <c r="E107" s="1">
        <v>5441</v>
      </c>
      <c r="F107" s="1">
        <v>62</v>
      </c>
      <c r="G107" s="1">
        <v>183</v>
      </c>
      <c r="H107" s="1">
        <v>944</v>
      </c>
      <c r="I107" s="1">
        <v>572</v>
      </c>
      <c r="J107" s="1">
        <v>260</v>
      </c>
      <c r="K107" s="1">
        <v>132</v>
      </c>
      <c r="L107" s="1">
        <v>0</v>
      </c>
      <c r="M107" s="1">
        <v>351</v>
      </c>
      <c r="N107" s="1">
        <v>0</v>
      </c>
      <c r="O107" s="1">
        <v>0</v>
      </c>
      <c r="P107" s="1">
        <v>0</v>
      </c>
      <c r="Q107" s="1">
        <v>61</v>
      </c>
      <c r="R107" s="1">
        <v>0</v>
      </c>
      <c r="S107" s="1">
        <v>120</v>
      </c>
      <c r="T107" s="1">
        <v>0</v>
      </c>
      <c r="U107" s="1">
        <v>932</v>
      </c>
      <c r="V107" s="1">
        <v>0</v>
      </c>
      <c r="W107" s="1">
        <v>1143</v>
      </c>
      <c r="X107" s="1">
        <v>92</v>
      </c>
      <c r="Y107" s="1">
        <v>240</v>
      </c>
      <c r="Z107" s="1">
        <v>0</v>
      </c>
      <c r="AA107" s="1">
        <v>0</v>
      </c>
      <c r="AB107" s="1">
        <v>20</v>
      </c>
      <c r="AC107" s="1">
        <v>366</v>
      </c>
      <c r="AD107" s="1">
        <v>0</v>
      </c>
      <c r="AE107" s="1">
        <v>1102</v>
      </c>
      <c r="AF107" s="1">
        <v>0</v>
      </c>
      <c r="AG107" s="1">
        <v>2528</v>
      </c>
      <c r="AH107" s="1">
        <v>0</v>
      </c>
      <c r="AI107" s="1">
        <v>296</v>
      </c>
      <c r="AJ107" s="1">
        <v>0</v>
      </c>
      <c r="AK107" s="1">
        <v>1178</v>
      </c>
      <c r="AL107" s="1">
        <v>0</v>
      </c>
      <c r="AM107" s="1">
        <v>1460</v>
      </c>
      <c r="AN107" s="1">
        <v>0</v>
      </c>
      <c r="AO107" s="1">
        <v>535</v>
      </c>
      <c r="AP107" s="1">
        <v>0</v>
      </c>
      <c r="AQ107" s="1">
        <v>286</v>
      </c>
      <c r="AR107" s="1">
        <v>0</v>
      </c>
      <c r="AS107" s="1">
        <v>589</v>
      </c>
      <c r="AT107" s="1">
        <v>0</v>
      </c>
      <c r="AU107" s="1">
        <v>1891</v>
      </c>
      <c r="AV107" s="1">
        <v>0</v>
      </c>
      <c r="AW107" s="1">
        <v>1516</v>
      </c>
      <c r="AX107" s="1">
        <v>0</v>
      </c>
      <c r="AY107" s="1">
        <v>3559</v>
      </c>
      <c r="AZ107" s="1">
        <v>0</v>
      </c>
      <c r="BA107" s="1">
        <v>0</v>
      </c>
    </row>
    <row r="108" spans="1:103">
      <c r="A108" s="19">
        <v>27042</v>
      </c>
      <c r="B108" s="1">
        <v>2024</v>
      </c>
      <c r="C108" s="1">
        <v>20264</v>
      </c>
      <c r="D108" s="1">
        <v>0</v>
      </c>
      <c r="E108" s="1">
        <v>123</v>
      </c>
      <c r="F108" s="1">
        <v>0</v>
      </c>
      <c r="G108" s="1">
        <v>388</v>
      </c>
      <c r="H108" s="1">
        <v>649</v>
      </c>
      <c r="I108" s="1">
        <v>599</v>
      </c>
      <c r="J108" s="1">
        <v>115</v>
      </c>
      <c r="K108" s="1">
        <v>152</v>
      </c>
      <c r="L108" s="1">
        <v>0</v>
      </c>
      <c r="M108" s="1">
        <v>29</v>
      </c>
      <c r="N108" s="1">
        <v>0</v>
      </c>
      <c r="O108" s="1">
        <v>0</v>
      </c>
      <c r="P108" s="1">
        <v>17</v>
      </c>
      <c r="Q108" s="1">
        <v>18</v>
      </c>
      <c r="R108" s="1">
        <v>0</v>
      </c>
      <c r="S108" s="1">
        <v>41</v>
      </c>
      <c r="T108" s="1">
        <v>121</v>
      </c>
      <c r="U108" s="1">
        <v>0</v>
      </c>
      <c r="V108" s="1">
        <v>469</v>
      </c>
      <c r="W108" s="1">
        <v>1489</v>
      </c>
      <c r="X108" s="1">
        <v>22</v>
      </c>
      <c r="Y108" s="1">
        <v>177</v>
      </c>
      <c r="Z108" s="1">
        <v>0</v>
      </c>
      <c r="AA108" s="1">
        <v>229</v>
      </c>
      <c r="AB108" s="1">
        <v>0</v>
      </c>
      <c r="AC108" s="1">
        <v>0</v>
      </c>
      <c r="AD108" s="1">
        <v>642</v>
      </c>
      <c r="AE108" s="1">
        <v>1796</v>
      </c>
      <c r="AF108" s="1">
        <v>479</v>
      </c>
      <c r="AG108" s="1">
        <v>1866</v>
      </c>
      <c r="AH108" s="1">
        <v>0</v>
      </c>
      <c r="AI108" s="1">
        <v>19</v>
      </c>
      <c r="AJ108" s="1">
        <v>200</v>
      </c>
      <c r="AK108" s="1">
        <v>1588</v>
      </c>
      <c r="AL108" s="1">
        <v>0</v>
      </c>
      <c r="AM108" s="1">
        <v>925</v>
      </c>
      <c r="AN108" s="1">
        <v>0</v>
      </c>
      <c r="AO108" s="1">
        <v>894</v>
      </c>
      <c r="AP108" s="1">
        <v>0</v>
      </c>
      <c r="AQ108" s="1">
        <v>383</v>
      </c>
      <c r="AR108" s="1">
        <v>0</v>
      </c>
      <c r="AS108" s="1">
        <v>1300</v>
      </c>
      <c r="AT108" s="1">
        <v>188</v>
      </c>
      <c r="AU108" s="1">
        <v>2034</v>
      </c>
      <c r="AV108" s="1">
        <v>0</v>
      </c>
      <c r="AW108" s="1">
        <v>883</v>
      </c>
      <c r="AX108" s="1">
        <v>0</v>
      </c>
      <c r="AY108" s="1">
        <v>2429</v>
      </c>
      <c r="AZ108" s="1">
        <v>0</v>
      </c>
      <c r="BA108" s="1">
        <v>0</v>
      </c>
    </row>
    <row r="109" spans="1:103">
      <c r="A109" s="19">
        <v>27044</v>
      </c>
      <c r="B109" s="1">
        <v>2024</v>
      </c>
      <c r="C109" s="1">
        <v>43150</v>
      </c>
      <c r="D109" s="1">
        <v>0</v>
      </c>
      <c r="E109" s="1">
        <v>0</v>
      </c>
      <c r="F109" s="1">
        <v>470</v>
      </c>
      <c r="G109" s="1">
        <v>249</v>
      </c>
      <c r="H109" s="1">
        <v>1051</v>
      </c>
      <c r="I109" s="1">
        <v>5869</v>
      </c>
      <c r="J109" s="1">
        <v>1427</v>
      </c>
      <c r="K109" s="1">
        <v>355</v>
      </c>
      <c r="L109" s="1">
        <v>0</v>
      </c>
      <c r="M109" s="1">
        <v>95</v>
      </c>
      <c r="N109" s="1">
        <v>104</v>
      </c>
      <c r="O109" s="1">
        <v>364</v>
      </c>
      <c r="P109" s="1">
        <v>37</v>
      </c>
      <c r="Q109" s="1">
        <v>132</v>
      </c>
      <c r="R109" s="1">
        <v>9</v>
      </c>
      <c r="S109" s="1">
        <v>143</v>
      </c>
      <c r="T109" s="1">
        <v>78</v>
      </c>
      <c r="U109" s="1">
        <v>1110</v>
      </c>
      <c r="V109" s="1">
        <v>71</v>
      </c>
      <c r="W109" s="1">
        <v>638</v>
      </c>
      <c r="X109" s="1">
        <v>126</v>
      </c>
      <c r="Y109" s="1">
        <v>1214</v>
      </c>
      <c r="Z109" s="1">
        <v>4</v>
      </c>
      <c r="AA109" s="1">
        <v>39</v>
      </c>
      <c r="AB109" s="1">
        <v>0</v>
      </c>
      <c r="AC109" s="1">
        <v>288</v>
      </c>
      <c r="AD109" s="1">
        <v>186</v>
      </c>
      <c r="AE109" s="1">
        <v>1285</v>
      </c>
      <c r="AF109" s="1">
        <v>122</v>
      </c>
      <c r="AG109" s="1">
        <v>1558</v>
      </c>
      <c r="AH109" s="1">
        <v>0</v>
      </c>
      <c r="AI109" s="1">
        <v>199</v>
      </c>
      <c r="AJ109" s="1">
        <v>0</v>
      </c>
      <c r="AK109" s="1">
        <v>129</v>
      </c>
      <c r="AL109" s="1">
        <v>0</v>
      </c>
      <c r="AM109" s="1">
        <v>1168</v>
      </c>
      <c r="AN109" s="1">
        <v>0</v>
      </c>
      <c r="AO109" s="1">
        <v>1156</v>
      </c>
      <c r="AP109" s="1">
        <v>0</v>
      </c>
      <c r="AQ109" s="1">
        <v>3028</v>
      </c>
      <c r="AR109" s="1">
        <v>0</v>
      </c>
      <c r="AS109" s="1">
        <v>4732</v>
      </c>
      <c r="AT109" s="1">
        <v>0</v>
      </c>
      <c r="AU109" s="1">
        <v>10074</v>
      </c>
      <c r="AV109" s="1">
        <v>0</v>
      </c>
      <c r="AW109" s="1">
        <v>2174</v>
      </c>
      <c r="AX109" s="1">
        <v>0</v>
      </c>
      <c r="AY109" s="1">
        <v>3466</v>
      </c>
      <c r="AZ109" s="1">
        <v>0</v>
      </c>
      <c r="BA109" s="1">
        <v>0</v>
      </c>
    </row>
    <row r="110" spans="1:103">
      <c r="A110" s="19">
        <v>27046</v>
      </c>
      <c r="B110" s="1">
        <v>2024</v>
      </c>
      <c r="C110" s="1">
        <v>27058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75</v>
      </c>
      <c r="BN110" s="1">
        <v>0</v>
      </c>
      <c r="BO110" s="1">
        <v>0</v>
      </c>
      <c r="BP110" s="1">
        <v>0</v>
      </c>
      <c r="BQ110" s="1">
        <v>213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184</v>
      </c>
      <c r="BZ110" s="1">
        <v>0</v>
      </c>
      <c r="CA110" s="1">
        <v>0</v>
      </c>
      <c r="CB110" s="1">
        <v>0</v>
      </c>
      <c r="CC110" s="1">
        <v>0</v>
      </c>
      <c r="CD110" s="1">
        <v>28</v>
      </c>
      <c r="CE110" s="1">
        <v>0</v>
      </c>
      <c r="CF110" s="1">
        <v>0</v>
      </c>
      <c r="CG110" s="1">
        <v>0</v>
      </c>
      <c r="CH110" s="1">
        <v>505</v>
      </c>
      <c r="CI110" s="1">
        <v>2728</v>
      </c>
      <c r="CJ110" s="1">
        <v>0</v>
      </c>
      <c r="CK110" s="1">
        <v>1370</v>
      </c>
      <c r="CL110" s="1">
        <v>0</v>
      </c>
      <c r="CM110" s="1">
        <v>3599</v>
      </c>
      <c r="CN110" s="1">
        <v>0</v>
      </c>
      <c r="CO110" s="1">
        <v>375</v>
      </c>
      <c r="CP110" s="1">
        <v>0</v>
      </c>
      <c r="CQ110" s="1">
        <v>0</v>
      </c>
      <c r="CR110" s="1">
        <v>0</v>
      </c>
      <c r="CS110" s="1">
        <v>407</v>
      </c>
      <c r="CT110" s="1">
        <v>0</v>
      </c>
      <c r="CU110" s="1">
        <v>1736</v>
      </c>
      <c r="CV110" s="1">
        <v>0</v>
      </c>
      <c r="CW110" s="1">
        <v>15838</v>
      </c>
      <c r="CX110" s="1">
        <v>0</v>
      </c>
      <c r="CY110" s="1">
        <v>0</v>
      </c>
    </row>
    <row r="111" spans="1:103">
      <c r="A111" s="19">
        <v>27049</v>
      </c>
      <c r="B111" s="1">
        <v>2024</v>
      </c>
      <c r="C111" s="1">
        <v>19574</v>
      </c>
      <c r="D111" s="1">
        <v>0</v>
      </c>
      <c r="E111" s="1">
        <v>0</v>
      </c>
      <c r="F111" s="1">
        <v>54</v>
      </c>
      <c r="G111" s="1">
        <v>165</v>
      </c>
      <c r="H111" s="1">
        <v>401</v>
      </c>
      <c r="I111" s="1">
        <v>2026</v>
      </c>
      <c r="J111" s="1">
        <v>287</v>
      </c>
      <c r="K111" s="1">
        <v>78</v>
      </c>
      <c r="L111" s="1">
        <v>0</v>
      </c>
      <c r="M111" s="1">
        <v>0</v>
      </c>
      <c r="N111" s="1">
        <v>0</v>
      </c>
      <c r="O111" s="1">
        <v>0</v>
      </c>
      <c r="P111" s="1">
        <v>34</v>
      </c>
      <c r="Q111" s="1">
        <v>175</v>
      </c>
      <c r="R111" s="1">
        <v>0</v>
      </c>
      <c r="S111" s="1">
        <v>0</v>
      </c>
      <c r="T111" s="1">
        <v>0</v>
      </c>
      <c r="U111" s="1">
        <v>305</v>
      </c>
      <c r="V111" s="1">
        <v>29</v>
      </c>
      <c r="W111" s="1">
        <v>504</v>
      </c>
      <c r="X111" s="1">
        <v>61</v>
      </c>
      <c r="Y111" s="1">
        <v>1803</v>
      </c>
      <c r="Z111" s="1">
        <v>0</v>
      </c>
      <c r="AA111" s="1">
        <v>0</v>
      </c>
      <c r="AB111" s="1">
        <v>92</v>
      </c>
      <c r="AC111" s="1">
        <v>312</v>
      </c>
      <c r="AD111" s="1">
        <v>4</v>
      </c>
      <c r="AE111" s="1">
        <v>493</v>
      </c>
      <c r="AF111" s="1">
        <v>61</v>
      </c>
      <c r="AG111" s="1">
        <v>1777</v>
      </c>
      <c r="AH111" s="1">
        <v>0</v>
      </c>
      <c r="AI111" s="1">
        <v>102</v>
      </c>
      <c r="AJ111" s="1">
        <v>56</v>
      </c>
      <c r="AK111" s="1">
        <v>469</v>
      </c>
      <c r="AL111" s="1">
        <v>0</v>
      </c>
      <c r="AM111" s="1">
        <v>703</v>
      </c>
      <c r="AN111" s="1">
        <v>0</v>
      </c>
      <c r="AO111" s="1">
        <v>256</v>
      </c>
      <c r="AP111" s="1">
        <v>0</v>
      </c>
      <c r="AQ111" s="1">
        <v>651</v>
      </c>
      <c r="AR111" s="1">
        <v>0</v>
      </c>
      <c r="AS111" s="1">
        <v>1512</v>
      </c>
      <c r="AT111" s="1">
        <v>0</v>
      </c>
      <c r="AU111" s="1">
        <v>4516</v>
      </c>
      <c r="AV111" s="1">
        <v>0</v>
      </c>
      <c r="AW111" s="1">
        <v>455</v>
      </c>
      <c r="AX111" s="1">
        <v>0</v>
      </c>
      <c r="AY111" s="1">
        <v>2193</v>
      </c>
      <c r="AZ111" s="1">
        <v>0</v>
      </c>
      <c r="BA111" s="1">
        <v>0</v>
      </c>
    </row>
    <row r="112" spans="1:103">
      <c r="A112" s="19">
        <v>27050</v>
      </c>
      <c r="B112" s="1">
        <v>2024</v>
      </c>
      <c r="C112" s="1">
        <v>75097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731</v>
      </c>
      <c r="CI112" s="1">
        <v>2057</v>
      </c>
      <c r="CJ112" s="1">
        <v>0</v>
      </c>
      <c r="CK112" s="1">
        <v>0</v>
      </c>
      <c r="CL112" s="1">
        <v>0</v>
      </c>
      <c r="CM112" s="1">
        <v>60537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31</v>
      </c>
      <c r="CV112" s="1">
        <v>0</v>
      </c>
      <c r="CW112" s="1">
        <v>11741</v>
      </c>
      <c r="CX112" s="1">
        <v>0</v>
      </c>
      <c r="CY112" s="1">
        <v>0</v>
      </c>
    </row>
    <row r="113" spans="1:103">
      <c r="A113" s="19">
        <v>27052</v>
      </c>
      <c r="B113" s="1">
        <v>2024</v>
      </c>
      <c r="C113" s="1">
        <v>82083</v>
      </c>
      <c r="D113" s="1">
        <v>71</v>
      </c>
      <c r="E113" s="1">
        <v>0</v>
      </c>
      <c r="F113" s="1">
        <v>972</v>
      </c>
      <c r="G113" s="1">
        <v>2224</v>
      </c>
      <c r="H113" s="1">
        <v>5701</v>
      </c>
      <c r="I113" s="1">
        <v>13956</v>
      </c>
      <c r="J113" s="1">
        <v>3366</v>
      </c>
      <c r="K113" s="1">
        <v>4372</v>
      </c>
      <c r="L113" s="1">
        <v>6</v>
      </c>
      <c r="M113" s="1">
        <v>349</v>
      </c>
      <c r="N113" s="1">
        <v>510</v>
      </c>
      <c r="O113" s="1">
        <v>1147</v>
      </c>
      <c r="P113" s="1">
        <v>917</v>
      </c>
      <c r="Q113" s="1">
        <v>1578</v>
      </c>
      <c r="R113" s="1">
        <v>55</v>
      </c>
      <c r="S113" s="1">
        <v>1364</v>
      </c>
      <c r="T113" s="1">
        <v>110</v>
      </c>
      <c r="U113" s="1">
        <v>401</v>
      </c>
      <c r="V113" s="1">
        <v>274</v>
      </c>
      <c r="W113" s="1">
        <v>672</v>
      </c>
      <c r="X113" s="1">
        <v>42</v>
      </c>
      <c r="Y113" s="1">
        <v>2156</v>
      </c>
      <c r="Z113" s="1">
        <v>0</v>
      </c>
      <c r="AA113" s="1">
        <v>79</v>
      </c>
      <c r="AB113" s="1">
        <v>14</v>
      </c>
      <c r="AC113" s="1">
        <v>35</v>
      </c>
      <c r="AD113" s="1">
        <v>59</v>
      </c>
      <c r="AE113" s="1">
        <v>646</v>
      </c>
      <c r="AF113" s="1">
        <v>497</v>
      </c>
      <c r="AG113" s="1">
        <v>1411</v>
      </c>
      <c r="AH113" s="1">
        <v>14</v>
      </c>
      <c r="AI113" s="1">
        <v>922</v>
      </c>
      <c r="AJ113" s="1">
        <v>425</v>
      </c>
      <c r="AK113" s="1">
        <v>2528</v>
      </c>
      <c r="AL113" s="1">
        <v>0</v>
      </c>
      <c r="AM113" s="1">
        <v>3382</v>
      </c>
      <c r="AN113" s="1">
        <v>6</v>
      </c>
      <c r="AO113" s="1">
        <v>2850</v>
      </c>
      <c r="AP113" s="1">
        <v>0</v>
      </c>
      <c r="AQ113" s="1">
        <v>2107</v>
      </c>
      <c r="AR113" s="1">
        <v>0</v>
      </c>
      <c r="AS113" s="1">
        <v>5127</v>
      </c>
      <c r="AT113" s="1">
        <v>15</v>
      </c>
      <c r="AU113" s="1">
        <v>10138</v>
      </c>
      <c r="AV113" s="1">
        <v>0</v>
      </c>
      <c r="AW113" s="1">
        <v>2824</v>
      </c>
      <c r="AX113" s="1">
        <v>0</v>
      </c>
      <c r="AY113" s="1">
        <v>8761</v>
      </c>
      <c r="AZ113" s="1">
        <v>0</v>
      </c>
      <c r="BA113" s="1">
        <v>0</v>
      </c>
    </row>
    <row r="114" spans="1:103">
      <c r="A114" s="19">
        <v>27054</v>
      </c>
      <c r="B114" s="1">
        <v>2024</v>
      </c>
      <c r="C114" s="1">
        <v>23422</v>
      </c>
      <c r="D114" s="1">
        <v>0</v>
      </c>
      <c r="E114" s="1">
        <v>0</v>
      </c>
      <c r="F114" s="1">
        <v>47</v>
      </c>
      <c r="G114" s="1">
        <v>139</v>
      </c>
      <c r="H114" s="1">
        <v>991</v>
      </c>
      <c r="I114" s="1">
        <v>1676</v>
      </c>
      <c r="J114" s="1">
        <v>881</v>
      </c>
      <c r="K114" s="1">
        <v>93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43</v>
      </c>
      <c r="T114" s="1">
        <v>0</v>
      </c>
      <c r="U114" s="1">
        <v>542</v>
      </c>
      <c r="V114" s="1">
        <v>0</v>
      </c>
      <c r="W114" s="1">
        <v>455</v>
      </c>
      <c r="X114" s="1">
        <v>4</v>
      </c>
      <c r="Y114" s="1">
        <v>1273</v>
      </c>
      <c r="Z114" s="1">
        <v>0</v>
      </c>
      <c r="AA114" s="1">
        <v>323</v>
      </c>
      <c r="AB114" s="1">
        <v>0</v>
      </c>
      <c r="AC114" s="1">
        <v>8</v>
      </c>
      <c r="AD114" s="1">
        <v>0</v>
      </c>
      <c r="AE114" s="1">
        <v>628</v>
      </c>
      <c r="AF114" s="1">
        <v>0</v>
      </c>
      <c r="AG114" s="1">
        <v>1957</v>
      </c>
      <c r="AH114" s="1">
        <v>0</v>
      </c>
      <c r="AI114" s="1">
        <v>192</v>
      </c>
      <c r="AJ114" s="1">
        <v>0</v>
      </c>
      <c r="AK114" s="1">
        <v>523</v>
      </c>
      <c r="AL114" s="1">
        <v>0</v>
      </c>
      <c r="AM114" s="1">
        <v>905</v>
      </c>
      <c r="AN114" s="1">
        <v>0</v>
      </c>
      <c r="AO114" s="1">
        <v>30</v>
      </c>
      <c r="AP114" s="1">
        <v>0</v>
      </c>
      <c r="AQ114" s="1">
        <v>741</v>
      </c>
      <c r="AR114" s="1">
        <v>0</v>
      </c>
      <c r="AS114" s="1">
        <v>1167</v>
      </c>
      <c r="AT114" s="1">
        <v>0</v>
      </c>
      <c r="AU114" s="1">
        <v>8661</v>
      </c>
      <c r="AV114" s="1">
        <v>0</v>
      </c>
      <c r="AW114" s="1">
        <v>1300</v>
      </c>
      <c r="AX114" s="1">
        <v>0</v>
      </c>
      <c r="AY114" s="1">
        <v>789</v>
      </c>
      <c r="AZ114" s="1">
        <v>0</v>
      </c>
      <c r="BA114" s="1">
        <v>54</v>
      </c>
    </row>
    <row r="115" spans="1:103">
      <c r="A115" s="19">
        <v>27055</v>
      </c>
      <c r="B115" s="1">
        <v>2024</v>
      </c>
      <c r="C115" s="1">
        <v>30757</v>
      </c>
      <c r="D115" s="1">
        <v>0</v>
      </c>
      <c r="E115" s="1">
        <v>0</v>
      </c>
      <c r="F115" s="1">
        <v>21</v>
      </c>
      <c r="G115" s="1">
        <v>1011</v>
      </c>
      <c r="H115" s="1">
        <v>2539</v>
      </c>
      <c r="I115" s="1">
        <v>2409</v>
      </c>
      <c r="J115" s="1">
        <v>851</v>
      </c>
      <c r="K115" s="1">
        <v>1764</v>
      </c>
      <c r="L115" s="1">
        <v>0</v>
      </c>
      <c r="M115" s="1">
        <v>428</v>
      </c>
      <c r="N115" s="1">
        <v>0</v>
      </c>
      <c r="O115" s="1">
        <v>55</v>
      </c>
      <c r="P115" s="1">
        <v>0</v>
      </c>
      <c r="Q115" s="1">
        <v>0</v>
      </c>
      <c r="R115" s="1">
        <v>0</v>
      </c>
      <c r="S115" s="1">
        <v>129</v>
      </c>
      <c r="T115" s="1">
        <v>0</v>
      </c>
      <c r="U115" s="1">
        <v>260</v>
      </c>
      <c r="V115" s="1">
        <v>0</v>
      </c>
      <c r="W115" s="1">
        <v>830</v>
      </c>
      <c r="X115" s="1">
        <v>0</v>
      </c>
      <c r="Y115" s="1">
        <v>647</v>
      </c>
      <c r="Z115" s="1">
        <v>18</v>
      </c>
      <c r="AA115" s="1">
        <v>152</v>
      </c>
      <c r="AB115" s="1">
        <v>92</v>
      </c>
      <c r="AC115" s="1">
        <v>650</v>
      </c>
      <c r="AD115" s="1">
        <v>0</v>
      </c>
      <c r="AE115" s="1">
        <v>658</v>
      </c>
      <c r="AF115" s="1">
        <v>23</v>
      </c>
      <c r="AG115" s="1">
        <v>580</v>
      </c>
      <c r="AH115" s="1">
        <v>0</v>
      </c>
      <c r="AI115" s="1">
        <v>274</v>
      </c>
      <c r="AJ115" s="1">
        <v>39</v>
      </c>
      <c r="AK115" s="1">
        <v>1003</v>
      </c>
      <c r="AL115" s="1">
        <v>0</v>
      </c>
      <c r="AM115" s="1">
        <v>726</v>
      </c>
      <c r="AN115" s="1">
        <v>0</v>
      </c>
      <c r="AO115" s="1">
        <v>1557</v>
      </c>
      <c r="AP115" s="1">
        <v>0</v>
      </c>
      <c r="AQ115" s="1">
        <v>1357</v>
      </c>
      <c r="AR115" s="1">
        <v>0</v>
      </c>
      <c r="AS115" s="1">
        <v>2330</v>
      </c>
      <c r="AT115" s="1">
        <v>0</v>
      </c>
      <c r="AU115" s="1">
        <v>5036</v>
      </c>
      <c r="AV115" s="1">
        <v>0</v>
      </c>
      <c r="AW115" s="1">
        <v>662</v>
      </c>
      <c r="AX115" s="1">
        <v>0</v>
      </c>
      <c r="AY115" s="1">
        <v>3647</v>
      </c>
      <c r="AZ115" s="1">
        <v>0</v>
      </c>
      <c r="BA115" s="1">
        <v>1009</v>
      </c>
    </row>
    <row r="116" spans="1:103">
      <c r="A116" s="19">
        <v>27056</v>
      </c>
      <c r="B116" s="1">
        <v>2024</v>
      </c>
      <c r="C116" s="1">
        <v>34095</v>
      </c>
      <c r="D116" s="1">
        <v>0</v>
      </c>
      <c r="E116" s="1">
        <v>11</v>
      </c>
      <c r="F116" s="1">
        <v>46</v>
      </c>
      <c r="G116" s="1">
        <v>545</v>
      </c>
      <c r="H116" s="1">
        <v>4838</v>
      </c>
      <c r="I116" s="1">
        <v>2532</v>
      </c>
      <c r="J116" s="1">
        <v>790</v>
      </c>
      <c r="K116" s="1">
        <v>612</v>
      </c>
      <c r="L116" s="1">
        <v>0</v>
      </c>
      <c r="M116" s="1">
        <v>180</v>
      </c>
      <c r="N116" s="1">
        <v>0</v>
      </c>
      <c r="O116" s="1">
        <v>609</v>
      </c>
      <c r="P116" s="1">
        <v>30</v>
      </c>
      <c r="Q116" s="1">
        <v>246</v>
      </c>
      <c r="R116" s="1">
        <v>91</v>
      </c>
      <c r="S116" s="1">
        <v>254</v>
      </c>
      <c r="T116" s="1">
        <v>54</v>
      </c>
      <c r="U116" s="1">
        <v>1200</v>
      </c>
      <c r="V116" s="1">
        <v>61</v>
      </c>
      <c r="W116" s="1">
        <v>1874</v>
      </c>
      <c r="X116" s="1">
        <v>83</v>
      </c>
      <c r="Y116" s="1">
        <v>1291</v>
      </c>
      <c r="Z116" s="1">
        <v>16</v>
      </c>
      <c r="AA116" s="1">
        <v>1036</v>
      </c>
      <c r="AB116" s="1">
        <v>267</v>
      </c>
      <c r="AC116" s="1">
        <v>118</v>
      </c>
      <c r="AD116" s="1">
        <v>85</v>
      </c>
      <c r="AE116" s="1">
        <v>1313</v>
      </c>
      <c r="AF116" s="1">
        <v>0</v>
      </c>
      <c r="AG116" s="1">
        <v>1133</v>
      </c>
      <c r="AH116" s="1">
        <v>0</v>
      </c>
      <c r="AI116" s="1">
        <v>213</v>
      </c>
      <c r="AJ116" s="1">
        <v>215</v>
      </c>
      <c r="AK116" s="1">
        <v>1661</v>
      </c>
      <c r="AL116" s="1">
        <v>0</v>
      </c>
      <c r="AM116" s="1">
        <v>323</v>
      </c>
      <c r="AN116" s="1">
        <v>0</v>
      </c>
      <c r="AO116" s="1">
        <v>505</v>
      </c>
      <c r="AP116" s="1">
        <v>0</v>
      </c>
      <c r="AQ116" s="1">
        <v>263</v>
      </c>
      <c r="AR116" s="1">
        <v>0</v>
      </c>
      <c r="AS116" s="1">
        <v>2570</v>
      </c>
      <c r="AT116" s="1">
        <v>0</v>
      </c>
      <c r="AU116" s="1">
        <v>2895</v>
      </c>
      <c r="AV116" s="1">
        <v>0</v>
      </c>
      <c r="AW116" s="1">
        <v>871</v>
      </c>
      <c r="AX116" s="1">
        <v>0</v>
      </c>
      <c r="AY116" s="1">
        <v>3355</v>
      </c>
      <c r="AZ116" s="1">
        <v>0</v>
      </c>
      <c r="BA116" s="1">
        <v>1909</v>
      </c>
    </row>
    <row r="117" spans="1:103">
      <c r="A117" s="19">
        <v>27057</v>
      </c>
      <c r="B117" s="1">
        <v>2024</v>
      </c>
      <c r="C117" s="1">
        <v>22314</v>
      </c>
      <c r="D117" s="1">
        <v>0</v>
      </c>
      <c r="E117" s="1">
        <v>0</v>
      </c>
      <c r="F117" s="1">
        <v>0</v>
      </c>
      <c r="G117" s="1">
        <v>151</v>
      </c>
      <c r="H117" s="1">
        <v>726</v>
      </c>
      <c r="I117" s="1">
        <v>1079</v>
      </c>
      <c r="J117" s="1">
        <v>1258</v>
      </c>
      <c r="K117" s="1">
        <v>1461</v>
      </c>
      <c r="L117" s="1">
        <v>0</v>
      </c>
      <c r="M117" s="1">
        <v>122</v>
      </c>
      <c r="N117" s="1">
        <v>0</v>
      </c>
      <c r="O117" s="1">
        <v>167</v>
      </c>
      <c r="P117" s="1">
        <v>0</v>
      </c>
      <c r="Q117" s="1">
        <v>143</v>
      </c>
      <c r="R117" s="1">
        <v>0</v>
      </c>
      <c r="S117" s="1">
        <v>194</v>
      </c>
      <c r="T117" s="1">
        <v>0</v>
      </c>
      <c r="U117" s="1">
        <v>0</v>
      </c>
      <c r="V117" s="1">
        <v>50</v>
      </c>
      <c r="W117" s="1">
        <v>141</v>
      </c>
      <c r="X117" s="1">
        <v>36</v>
      </c>
      <c r="Y117" s="1">
        <v>91</v>
      </c>
      <c r="Z117" s="1">
        <v>0</v>
      </c>
      <c r="AA117" s="1">
        <v>493</v>
      </c>
      <c r="AB117" s="1">
        <v>0</v>
      </c>
      <c r="AC117" s="1">
        <v>170</v>
      </c>
      <c r="AD117" s="1">
        <v>84</v>
      </c>
      <c r="AE117" s="1">
        <v>181</v>
      </c>
      <c r="AF117" s="1">
        <v>0</v>
      </c>
      <c r="AG117" s="1">
        <v>327</v>
      </c>
      <c r="AH117" s="1">
        <v>0</v>
      </c>
      <c r="AI117" s="1">
        <v>169</v>
      </c>
      <c r="AJ117" s="1">
        <v>48</v>
      </c>
      <c r="AK117" s="1">
        <v>2688</v>
      </c>
      <c r="AL117" s="1">
        <v>0</v>
      </c>
      <c r="AM117" s="1">
        <v>728</v>
      </c>
      <c r="AN117" s="1">
        <v>0</v>
      </c>
      <c r="AO117" s="1">
        <v>2518</v>
      </c>
      <c r="AP117" s="1">
        <v>0</v>
      </c>
      <c r="AQ117" s="1">
        <v>15</v>
      </c>
      <c r="AR117" s="1">
        <v>0</v>
      </c>
      <c r="AS117" s="1">
        <v>619</v>
      </c>
      <c r="AT117" s="1">
        <v>0</v>
      </c>
      <c r="AU117" s="1">
        <v>1256</v>
      </c>
      <c r="AV117" s="1">
        <v>0</v>
      </c>
      <c r="AW117" s="1">
        <v>903</v>
      </c>
      <c r="AX117" s="1">
        <v>0</v>
      </c>
      <c r="AY117" s="1">
        <v>5378</v>
      </c>
      <c r="AZ117" s="1">
        <v>0</v>
      </c>
      <c r="BA117" s="1">
        <v>1118</v>
      </c>
    </row>
    <row r="118" spans="1:103">
      <c r="A118" s="19">
        <v>27059</v>
      </c>
      <c r="B118" s="1">
        <v>2024</v>
      </c>
      <c r="C118" s="1">
        <v>32390</v>
      </c>
      <c r="D118" s="1">
        <v>0</v>
      </c>
      <c r="E118" s="1">
        <v>0</v>
      </c>
      <c r="F118" s="1">
        <v>256</v>
      </c>
      <c r="G118" s="1">
        <v>550</v>
      </c>
      <c r="H118" s="1">
        <v>3059</v>
      </c>
      <c r="I118" s="1">
        <v>2205</v>
      </c>
      <c r="J118" s="1">
        <v>1415</v>
      </c>
      <c r="K118" s="1">
        <v>1055</v>
      </c>
      <c r="L118" s="1">
        <v>11</v>
      </c>
      <c r="M118" s="1">
        <v>300</v>
      </c>
      <c r="N118" s="1">
        <v>421</v>
      </c>
      <c r="O118" s="1">
        <v>285</v>
      </c>
      <c r="P118" s="1">
        <v>200</v>
      </c>
      <c r="Q118" s="1">
        <v>385</v>
      </c>
      <c r="R118" s="1">
        <v>246</v>
      </c>
      <c r="S118" s="1">
        <v>817</v>
      </c>
      <c r="T118" s="1">
        <v>0</v>
      </c>
      <c r="U118" s="1">
        <v>744</v>
      </c>
      <c r="V118" s="1">
        <v>3</v>
      </c>
      <c r="W118" s="1">
        <v>1266</v>
      </c>
      <c r="X118" s="1">
        <v>0</v>
      </c>
      <c r="Y118" s="1">
        <v>1105</v>
      </c>
      <c r="Z118" s="1">
        <v>20</v>
      </c>
      <c r="AA118" s="1">
        <v>310</v>
      </c>
      <c r="AB118" s="1">
        <v>31</v>
      </c>
      <c r="AC118" s="1">
        <v>374</v>
      </c>
      <c r="AD118" s="1">
        <v>69</v>
      </c>
      <c r="AE118" s="1">
        <v>1888</v>
      </c>
      <c r="AF118" s="1">
        <v>84</v>
      </c>
      <c r="AG118" s="1">
        <v>259</v>
      </c>
      <c r="AH118" s="1">
        <v>101</v>
      </c>
      <c r="AI118" s="1">
        <v>37</v>
      </c>
      <c r="AJ118" s="1">
        <v>0</v>
      </c>
      <c r="AK118" s="1">
        <v>2595</v>
      </c>
      <c r="AL118" s="1">
        <v>0</v>
      </c>
      <c r="AM118" s="1">
        <v>244</v>
      </c>
      <c r="AN118" s="1">
        <v>0</v>
      </c>
      <c r="AO118" s="1">
        <v>449</v>
      </c>
      <c r="AP118" s="1">
        <v>0</v>
      </c>
      <c r="AQ118" s="1">
        <v>946</v>
      </c>
      <c r="AR118" s="1">
        <v>0</v>
      </c>
      <c r="AS118" s="1">
        <v>3173</v>
      </c>
      <c r="AT118" s="1">
        <v>0</v>
      </c>
      <c r="AU118" s="1">
        <v>1060</v>
      </c>
      <c r="AV118" s="1">
        <v>0</v>
      </c>
      <c r="AW118" s="1">
        <v>889</v>
      </c>
      <c r="AX118" s="1">
        <v>0</v>
      </c>
      <c r="AY118" s="1">
        <v>4217</v>
      </c>
      <c r="AZ118" s="1">
        <v>0</v>
      </c>
      <c r="BA118" s="1">
        <v>1321</v>
      </c>
    </row>
    <row r="119" spans="1:103">
      <c r="A119" s="19">
        <v>27060</v>
      </c>
      <c r="B119" s="1">
        <v>2024</v>
      </c>
      <c r="C119" s="1">
        <v>58070</v>
      </c>
      <c r="D119" s="1">
        <v>0</v>
      </c>
      <c r="E119" s="1">
        <v>2</v>
      </c>
      <c r="F119" s="1">
        <v>0</v>
      </c>
      <c r="G119" s="1">
        <v>110</v>
      </c>
      <c r="H119" s="1">
        <v>1191</v>
      </c>
      <c r="I119" s="1">
        <v>2396</v>
      </c>
      <c r="J119" s="1">
        <v>2351</v>
      </c>
      <c r="K119" s="1">
        <v>380</v>
      </c>
      <c r="L119" s="1">
        <v>31</v>
      </c>
      <c r="M119" s="1">
        <v>193</v>
      </c>
      <c r="N119" s="1">
        <v>19</v>
      </c>
      <c r="O119" s="1">
        <v>589</v>
      </c>
      <c r="P119" s="1">
        <v>110</v>
      </c>
      <c r="Q119" s="1">
        <v>550</v>
      </c>
      <c r="R119" s="1">
        <v>164</v>
      </c>
      <c r="S119" s="1">
        <v>382</v>
      </c>
      <c r="T119" s="1">
        <v>7</v>
      </c>
      <c r="U119" s="1">
        <v>1798</v>
      </c>
      <c r="V119" s="1">
        <v>421</v>
      </c>
      <c r="W119" s="1">
        <v>1873</v>
      </c>
      <c r="X119" s="1">
        <v>159</v>
      </c>
      <c r="Y119" s="1">
        <v>2348</v>
      </c>
      <c r="Z119" s="1">
        <v>0</v>
      </c>
      <c r="AA119" s="1">
        <v>696</v>
      </c>
      <c r="AB119" s="1">
        <v>0</v>
      </c>
      <c r="AC119" s="1">
        <v>877</v>
      </c>
      <c r="AD119" s="1">
        <v>132</v>
      </c>
      <c r="AE119" s="1">
        <v>2315</v>
      </c>
      <c r="AF119" s="1">
        <v>274</v>
      </c>
      <c r="AG119" s="1">
        <v>1418</v>
      </c>
      <c r="AH119" s="1">
        <v>124</v>
      </c>
      <c r="AI119" s="1">
        <v>655</v>
      </c>
      <c r="AJ119" s="1">
        <v>109</v>
      </c>
      <c r="AK119" s="1">
        <v>408</v>
      </c>
      <c r="AL119" s="1">
        <v>154</v>
      </c>
      <c r="AM119" s="1">
        <v>4135</v>
      </c>
      <c r="AN119" s="1">
        <v>0</v>
      </c>
      <c r="AO119" s="1">
        <v>1144</v>
      </c>
      <c r="AP119" s="1">
        <v>0</v>
      </c>
      <c r="AQ119" s="1">
        <v>6148</v>
      </c>
      <c r="AR119" s="1">
        <v>0</v>
      </c>
      <c r="AS119" s="1">
        <v>7847</v>
      </c>
      <c r="AT119" s="1">
        <v>91</v>
      </c>
      <c r="AU119" s="1">
        <v>11508</v>
      </c>
      <c r="AV119" s="1">
        <v>89</v>
      </c>
      <c r="AW119" s="1">
        <v>2249</v>
      </c>
      <c r="AX119" s="1">
        <v>0</v>
      </c>
      <c r="AY119" s="1">
        <v>2147</v>
      </c>
      <c r="AZ119" s="1">
        <v>0</v>
      </c>
      <c r="BA119" s="1">
        <v>476</v>
      </c>
    </row>
    <row r="120" spans="1:103">
      <c r="A120" s="19">
        <v>27062</v>
      </c>
      <c r="B120" s="1">
        <v>2024</v>
      </c>
      <c r="C120" s="1">
        <v>30007</v>
      </c>
      <c r="D120" s="1">
        <v>0</v>
      </c>
      <c r="E120" s="1">
        <v>0</v>
      </c>
      <c r="F120" s="1">
        <v>219</v>
      </c>
      <c r="G120" s="1">
        <v>285</v>
      </c>
      <c r="H120" s="1">
        <v>1344</v>
      </c>
      <c r="I120" s="1">
        <v>1588</v>
      </c>
      <c r="J120" s="1">
        <v>342</v>
      </c>
      <c r="K120" s="1">
        <v>189</v>
      </c>
      <c r="L120" s="1">
        <v>0</v>
      </c>
      <c r="M120" s="1">
        <v>0</v>
      </c>
      <c r="N120" s="1">
        <v>4</v>
      </c>
      <c r="O120" s="1">
        <v>30</v>
      </c>
      <c r="P120" s="1">
        <v>0</v>
      </c>
      <c r="Q120" s="1">
        <v>13</v>
      </c>
      <c r="R120" s="1">
        <v>0</v>
      </c>
      <c r="S120" s="1">
        <v>96</v>
      </c>
      <c r="T120" s="1">
        <v>0</v>
      </c>
      <c r="U120" s="1">
        <v>0</v>
      </c>
      <c r="V120" s="1">
        <v>0</v>
      </c>
      <c r="W120" s="1">
        <v>39</v>
      </c>
      <c r="X120" s="1">
        <v>0</v>
      </c>
      <c r="Y120" s="1">
        <v>17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4</v>
      </c>
      <c r="AH120" s="1">
        <v>0</v>
      </c>
      <c r="AI120" s="1">
        <v>0</v>
      </c>
      <c r="AJ120" s="1">
        <v>0</v>
      </c>
      <c r="AK120" s="1">
        <v>108</v>
      </c>
      <c r="AL120" s="1">
        <v>0</v>
      </c>
      <c r="AM120" s="1">
        <v>0</v>
      </c>
      <c r="AN120" s="1">
        <v>0</v>
      </c>
      <c r="AO120" s="1">
        <v>5</v>
      </c>
      <c r="AP120" s="1">
        <v>0</v>
      </c>
      <c r="AQ120" s="1">
        <v>0</v>
      </c>
      <c r="AR120" s="1">
        <v>0</v>
      </c>
      <c r="AS120" s="1">
        <v>20</v>
      </c>
      <c r="AT120" s="1">
        <v>0</v>
      </c>
      <c r="AU120" s="1">
        <v>15</v>
      </c>
      <c r="AV120" s="1">
        <v>0</v>
      </c>
      <c r="AW120" s="1">
        <v>13</v>
      </c>
      <c r="AX120" s="1">
        <v>0</v>
      </c>
      <c r="AY120" s="1">
        <v>18</v>
      </c>
      <c r="AZ120" s="1">
        <v>0</v>
      </c>
      <c r="BA120" s="1">
        <v>1499</v>
      </c>
      <c r="BB120" s="1">
        <v>0</v>
      </c>
      <c r="BC120" s="1">
        <v>0</v>
      </c>
      <c r="BD120" s="1">
        <v>166</v>
      </c>
      <c r="BE120" s="1">
        <v>509</v>
      </c>
      <c r="BF120" s="1">
        <v>903</v>
      </c>
      <c r="BG120" s="1">
        <v>1319</v>
      </c>
      <c r="BH120" s="1">
        <v>377</v>
      </c>
      <c r="BI120" s="1">
        <v>204</v>
      </c>
      <c r="BJ120" s="1">
        <v>31</v>
      </c>
      <c r="BK120" s="1">
        <v>91</v>
      </c>
      <c r="BL120" s="1">
        <v>18</v>
      </c>
      <c r="BM120" s="1">
        <v>429</v>
      </c>
      <c r="BN120" s="1">
        <v>21</v>
      </c>
      <c r="BO120" s="1">
        <v>689</v>
      </c>
      <c r="BP120" s="1">
        <v>0</v>
      </c>
      <c r="BQ120" s="1">
        <v>690</v>
      </c>
      <c r="BR120" s="1">
        <v>0</v>
      </c>
      <c r="BS120" s="1">
        <v>675</v>
      </c>
      <c r="BT120" s="1">
        <v>0</v>
      </c>
      <c r="BU120" s="1">
        <v>2013</v>
      </c>
      <c r="BV120" s="1">
        <v>0</v>
      </c>
      <c r="BW120" s="1">
        <v>1133</v>
      </c>
      <c r="BX120" s="1">
        <v>0</v>
      </c>
      <c r="BY120" s="1">
        <v>407</v>
      </c>
      <c r="BZ120" s="1">
        <v>1</v>
      </c>
      <c r="CA120" s="1">
        <v>185</v>
      </c>
      <c r="CB120" s="1">
        <v>91</v>
      </c>
      <c r="CC120" s="1">
        <v>825</v>
      </c>
      <c r="CD120" s="1">
        <v>65</v>
      </c>
      <c r="CE120" s="1">
        <v>872</v>
      </c>
      <c r="CF120" s="1">
        <v>0</v>
      </c>
      <c r="CG120" s="1">
        <v>75</v>
      </c>
      <c r="CH120" s="1">
        <v>22</v>
      </c>
      <c r="CI120" s="1">
        <v>1064</v>
      </c>
      <c r="CJ120" s="1">
        <v>0</v>
      </c>
      <c r="CK120" s="1">
        <v>568</v>
      </c>
      <c r="CL120" s="1">
        <v>0</v>
      </c>
      <c r="CM120" s="1">
        <v>942</v>
      </c>
      <c r="CN120" s="1">
        <v>0</v>
      </c>
      <c r="CO120" s="1">
        <v>343</v>
      </c>
      <c r="CP120" s="1">
        <v>0</v>
      </c>
      <c r="CQ120" s="1">
        <v>2103</v>
      </c>
      <c r="CR120" s="1">
        <v>0</v>
      </c>
      <c r="CS120" s="1">
        <v>2201</v>
      </c>
      <c r="CT120" s="1">
        <v>0</v>
      </c>
      <c r="CU120" s="1">
        <v>800</v>
      </c>
      <c r="CV120" s="1">
        <v>0</v>
      </c>
      <c r="CW120" s="1">
        <v>4063</v>
      </c>
      <c r="CX120" s="1">
        <v>0</v>
      </c>
      <c r="CY120" s="1">
        <v>264</v>
      </c>
    </row>
    <row r="121" spans="1:103">
      <c r="A121" s="19">
        <v>27063</v>
      </c>
      <c r="B121" s="1">
        <v>2024</v>
      </c>
      <c r="C121" s="1">
        <v>32989</v>
      </c>
      <c r="D121" s="1">
        <v>0</v>
      </c>
      <c r="E121" s="1">
        <v>0</v>
      </c>
      <c r="F121" s="1">
        <v>529</v>
      </c>
      <c r="G121" s="1">
        <v>295</v>
      </c>
      <c r="H121" s="1">
        <v>2879</v>
      </c>
      <c r="I121" s="1">
        <v>6345</v>
      </c>
      <c r="J121" s="1">
        <v>1215</v>
      </c>
      <c r="K121" s="1">
        <v>386</v>
      </c>
      <c r="L121" s="1">
        <v>3</v>
      </c>
      <c r="M121" s="1">
        <v>103</v>
      </c>
      <c r="N121" s="1">
        <v>0</v>
      </c>
      <c r="O121" s="1">
        <v>156</v>
      </c>
      <c r="P121" s="1">
        <v>48</v>
      </c>
      <c r="Q121" s="1">
        <v>34</v>
      </c>
      <c r="R121" s="1">
        <v>27</v>
      </c>
      <c r="S121" s="1">
        <v>270</v>
      </c>
      <c r="T121" s="1">
        <v>0</v>
      </c>
      <c r="U121" s="1">
        <v>76</v>
      </c>
      <c r="V121" s="1">
        <v>84</v>
      </c>
      <c r="W121" s="1">
        <v>669</v>
      </c>
      <c r="X121" s="1">
        <v>185</v>
      </c>
      <c r="Y121" s="1">
        <v>985</v>
      </c>
      <c r="Z121" s="1">
        <v>1</v>
      </c>
      <c r="AA121" s="1">
        <v>304</v>
      </c>
      <c r="AB121" s="1">
        <v>0</v>
      </c>
      <c r="AC121" s="1">
        <v>430</v>
      </c>
      <c r="AD121" s="1">
        <v>0</v>
      </c>
      <c r="AE121" s="1">
        <v>417</v>
      </c>
      <c r="AF121" s="1">
        <v>71</v>
      </c>
      <c r="AG121" s="1">
        <v>819</v>
      </c>
      <c r="AH121" s="1">
        <v>24</v>
      </c>
      <c r="AI121" s="1">
        <v>5</v>
      </c>
      <c r="AJ121" s="1">
        <v>0</v>
      </c>
      <c r="AK121" s="1">
        <v>246</v>
      </c>
      <c r="AL121" s="1">
        <v>0</v>
      </c>
      <c r="AM121" s="1">
        <v>1140</v>
      </c>
      <c r="AN121" s="1">
        <v>0</v>
      </c>
      <c r="AO121" s="1">
        <v>161</v>
      </c>
      <c r="AP121" s="1">
        <v>0</v>
      </c>
      <c r="AQ121" s="1">
        <v>2035</v>
      </c>
      <c r="AR121" s="1">
        <v>0</v>
      </c>
      <c r="AS121" s="1">
        <v>2869</v>
      </c>
      <c r="AT121" s="1">
        <v>0</v>
      </c>
      <c r="AU121" s="1">
        <v>8855</v>
      </c>
      <c r="AV121" s="1">
        <v>0</v>
      </c>
      <c r="AW121" s="1">
        <v>974</v>
      </c>
      <c r="AX121" s="1">
        <v>0</v>
      </c>
      <c r="AY121" s="1">
        <v>281</v>
      </c>
      <c r="AZ121" s="1">
        <v>0</v>
      </c>
      <c r="BA121" s="1">
        <v>68</v>
      </c>
    </row>
    <row r="122" spans="1:103">
      <c r="A122" s="19">
        <v>27066</v>
      </c>
      <c r="B122" s="1">
        <v>2024</v>
      </c>
      <c r="C122" s="1">
        <v>32886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292</v>
      </c>
      <c r="BE122" s="1">
        <v>0</v>
      </c>
      <c r="BF122" s="1">
        <v>0</v>
      </c>
      <c r="BG122" s="1">
        <v>0</v>
      </c>
      <c r="BH122" s="1">
        <v>0</v>
      </c>
      <c r="BI122" s="1">
        <v>426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55</v>
      </c>
      <c r="BP122" s="1">
        <v>92</v>
      </c>
      <c r="BQ122" s="1">
        <v>300</v>
      </c>
      <c r="BR122" s="1">
        <v>0</v>
      </c>
      <c r="BS122" s="1">
        <v>0</v>
      </c>
      <c r="BT122" s="1">
        <v>0</v>
      </c>
      <c r="BU122" s="1">
        <v>0</v>
      </c>
      <c r="BV122" s="1">
        <v>203</v>
      </c>
      <c r="BW122" s="1">
        <v>39</v>
      </c>
      <c r="BX122" s="1">
        <v>89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2</v>
      </c>
      <c r="CF122" s="1">
        <v>0</v>
      </c>
      <c r="CG122" s="1">
        <v>244</v>
      </c>
      <c r="CH122" s="1">
        <v>365</v>
      </c>
      <c r="CI122" s="1">
        <v>2921</v>
      </c>
      <c r="CJ122" s="1">
        <v>0</v>
      </c>
      <c r="CK122" s="1">
        <v>4542</v>
      </c>
      <c r="CL122" s="1">
        <v>0</v>
      </c>
      <c r="CM122" s="1">
        <v>5313</v>
      </c>
      <c r="CN122" s="1">
        <v>0</v>
      </c>
      <c r="CO122" s="1">
        <v>18</v>
      </c>
      <c r="CP122" s="1">
        <v>0</v>
      </c>
      <c r="CQ122" s="1">
        <v>119</v>
      </c>
      <c r="CR122" s="1">
        <v>0</v>
      </c>
      <c r="CS122" s="1">
        <v>1035</v>
      </c>
      <c r="CT122" s="1">
        <v>0</v>
      </c>
      <c r="CU122" s="1">
        <v>914</v>
      </c>
      <c r="CV122" s="1">
        <v>0</v>
      </c>
      <c r="CW122" s="1">
        <v>15917</v>
      </c>
      <c r="CX122" s="1">
        <v>0</v>
      </c>
      <c r="CY122" s="1">
        <v>0</v>
      </c>
    </row>
    <row r="123" spans="1:103">
      <c r="A123" s="19">
        <v>27067</v>
      </c>
      <c r="B123" s="1">
        <v>2024</v>
      </c>
      <c r="C123" s="1">
        <v>15953</v>
      </c>
      <c r="D123" s="1">
        <v>0</v>
      </c>
      <c r="E123" s="1">
        <v>0</v>
      </c>
      <c r="F123" s="1">
        <v>37</v>
      </c>
      <c r="G123" s="1">
        <v>206</v>
      </c>
      <c r="H123" s="1">
        <v>1383</v>
      </c>
      <c r="I123" s="1">
        <v>441</v>
      </c>
      <c r="J123" s="1">
        <v>285</v>
      </c>
      <c r="K123" s="1">
        <v>622</v>
      </c>
      <c r="L123" s="1">
        <v>0</v>
      </c>
      <c r="M123" s="1">
        <v>24</v>
      </c>
      <c r="N123" s="1">
        <v>0</v>
      </c>
      <c r="O123" s="1">
        <v>92</v>
      </c>
      <c r="P123" s="1">
        <v>92</v>
      </c>
      <c r="Q123" s="1">
        <v>0</v>
      </c>
      <c r="R123" s="1">
        <v>3</v>
      </c>
      <c r="S123" s="1">
        <v>0</v>
      </c>
      <c r="T123" s="1">
        <v>0</v>
      </c>
      <c r="U123" s="1">
        <v>157</v>
      </c>
      <c r="V123" s="1">
        <v>0</v>
      </c>
      <c r="W123" s="1">
        <v>817</v>
      </c>
      <c r="X123" s="1">
        <v>0</v>
      </c>
      <c r="Y123" s="1">
        <v>366</v>
      </c>
      <c r="Z123" s="1">
        <v>0</v>
      </c>
      <c r="AA123" s="1">
        <v>90</v>
      </c>
      <c r="AB123" s="1">
        <v>0</v>
      </c>
      <c r="AC123" s="1">
        <v>146</v>
      </c>
      <c r="AD123" s="1">
        <v>0</v>
      </c>
      <c r="AE123" s="1">
        <v>1223</v>
      </c>
      <c r="AF123" s="1">
        <v>37</v>
      </c>
      <c r="AG123" s="1">
        <v>712</v>
      </c>
      <c r="AH123" s="1">
        <v>0</v>
      </c>
      <c r="AI123" s="1">
        <v>85</v>
      </c>
      <c r="AJ123" s="1">
        <v>0</v>
      </c>
      <c r="AK123" s="1">
        <v>140</v>
      </c>
      <c r="AL123" s="1">
        <v>0</v>
      </c>
      <c r="AM123" s="1">
        <v>1838</v>
      </c>
      <c r="AN123" s="1">
        <v>0</v>
      </c>
      <c r="AO123" s="1">
        <v>1661</v>
      </c>
      <c r="AP123" s="1">
        <v>0</v>
      </c>
      <c r="AQ123" s="1">
        <v>777</v>
      </c>
      <c r="AR123" s="1">
        <v>0</v>
      </c>
      <c r="AS123" s="1">
        <v>1350</v>
      </c>
      <c r="AT123" s="1">
        <v>0</v>
      </c>
      <c r="AU123" s="1">
        <v>1114</v>
      </c>
      <c r="AV123" s="1">
        <v>0</v>
      </c>
      <c r="AW123" s="1">
        <v>194</v>
      </c>
      <c r="AX123" s="1">
        <v>0</v>
      </c>
      <c r="AY123" s="1">
        <v>2025</v>
      </c>
      <c r="AZ123" s="1">
        <v>0</v>
      </c>
      <c r="BA123" s="1">
        <v>36</v>
      </c>
    </row>
    <row r="124" spans="1:103">
      <c r="A124" s="19">
        <v>27068</v>
      </c>
      <c r="B124" s="1">
        <v>2024</v>
      </c>
      <c r="C124" s="1">
        <v>58543</v>
      </c>
      <c r="D124" s="1">
        <v>0</v>
      </c>
      <c r="E124" s="1">
        <v>11</v>
      </c>
      <c r="F124" s="1">
        <v>317</v>
      </c>
      <c r="G124" s="1">
        <v>408</v>
      </c>
      <c r="H124" s="1">
        <v>4668</v>
      </c>
      <c r="I124" s="1">
        <v>10496</v>
      </c>
      <c r="J124" s="1">
        <v>2805</v>
      </c>
      <c r="K124" s="1">
        <v>282</v>
      </c>
      <c r="L124" s="1">
        <v>12</v>
      </c>
      <c r="M124" s="1">
        <v>114</v>
      </c>
      <c r="N124" s="1">
        <v>88</v>
      </c>
      <c r="O124" s="1">
        <v>185</v>
      </c>
      <c r="P124" s="1">
        <v>300</v>
      </c>
      <c r="Q124" s="1">
        <v>734</v>
      </c>
      <c r="R124" s="1">
        <v>117</v>
      </c>
      <c r="S124" s="1">
        <v>1002</v>
      </c>
      <c r="T124" s="1">
        <v>0</v>
      </c>
      <c r="U124" s="1">
        <v>0</v>
      </c>
      <c r="V124" s="1">
        <v>0</v>
      </c>
      <c r="W124" s="1">
        <v>1409</v>
      </c>
      <c r="X124" s="1">
        <v>43</v>
      </c>
      <c r="Y124" s="1">
        <v>3146</v>
      </c>
      <c r="Z124" s="1">
        <v>18</v>
      </c>
      <c r="AA124" s="1">
        <v>405</v>
      </c>
      <c r="AB124" s="1">
        <v>0</v>
      </c>
      <c r="AC124" s="1">
        <v>88</v>
      </c>
      <c r="AD124" s="1">
        <v>44</v>
      </c>
      <c r="AE124" s="1">
        <v>579</v>
      </c>
      <c r="AF124" s="1">
        <v>361</v>
      </c>
      <c r="AG124" s="1">
        <v>4793</v>
      </c>
      <c r="AH124" s="1">
        <v>57</v>
      </c>
      <c r="AI124" s="1">
        <v>657</v>
      </c>
      <c r="AJ124" s="1">
        <v>9</v>
      </c>
      <c r="AK124" s="1">
        <v>263</v>
      </c>
      <c r="AL124" s="1">
        <v>0</v>
      </c>
      <c r="AM124" s="1">
        <v>1716</v>
      </c>
      <c r="AN124" s="1">
        <v>0</v>
      </c>
      <c r="AO124" s="1">
        <v>688</v>
      </c>
      <c r="AP124" s="1">
        <v>0</v>
      </c>
      <c r="AQ124" s="1">
        <v>875</v>
      </c>
      <c r="AR124" s="1">
        <v>0</v>
      </c>
      <c r="AS124" s="1">
        <v>2467</v>
      </c>
      <c r="AT124" s="1">
        <v>0</v>
      </c>
      <c r="AU124" s="1">
        <v>13489</v>
      </c>
      <c r="AV124" s="1">
        <v>0</v>
      </c>
      <c r="AW124" s="1">
        <v>3111</v>
      </c>
      <c r="AX124" s="1">
        <v>0</v>
      </c>
      <c r="AY124" s="1">
        <v>2701</v>
      </c>
      <c r="AZ124" s="1">
        <v>2</v>
      </c>
      <c r="BA124" s="1">
        <v>83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</row>
    <row r="125" spans="1:103">
      <c r="A125" s="19">
        <v>27070</v>
      </c>
      <c r="B125" s="1">
        <v>2024</v>
      </c>
      <c r="C125" s="1">
        <v>24458</v>
      </c>
      <c r="D125" s="1">
        <v>0</v>
      </c>
      <c r="E125" s="1">
        <v>0</v>
      </c>
      <c r="F125" s="1">
        <v>0</v>
      </c>
      <c r="G125" s="1">
        <v>118</v>
      </c>
      <c r="H125" s="1">
        <v>1854</v>
      </c>
      <c r="I125" s="1">
        <v>1307</v>
      </c>
      <c r="J125" s="1">
        <v>345</v>
      </c>
      <c r="K125" s="1">
        <v>280</v>
      </c>
      <c r="L125" s="1">
        <v>0</v>
      </c>
      <c r="M125" s="1">
        <v>39</v>
      </c>
      <c r="N125" s="1">
        <v>0</v>
      </c>
      <c r="O125" s="1">
        <v>0</v>
      </c>
      <c r="P125" s="1">
        <v>0</v>
      </c>
      <c r="Q125" s="1">
        <v>47</v>
      </c>
      <c r="R125" s="1">
        <v>0</v>
      </c>
      <c r="S125" s="1">
        <v>15</v>
      </c>
      <c r="T125" s="1">
        <v>0</v>
      </c>
      <c r="U125" s="1">
        <v>483</v>
      </c>
      <c r="V125" s="1">
        <v>84</v>
      </c>
      <c r="W125" s="1">
        <v>973</v>
      </c>
      <c r="X125" s="1">
        <v>0</v>
      </c>
      <c r="Y125" s="1">
        <v>593</v>
      </c>
      <c r="Z125" s="1">
        <v>0</v>
      </c>
      <c r="AA125" s="1">
        <v>213</v>
      </c>
      <c r="AB125" s="1">
        <v>0</v>
      </c>
      <c r="AC125" s="1">
        <v>97</v>
      </c>
      <c r="AD125" s="1">
        <v>0</v>
      </c>
      <c r="AE125" s="1">
        <v>868</v>
      </c>
      <c r="AF125" s="1">
        <v>0</v>
      </c>
      <c r="AG125" s="1">
        <v>723</v>
      </c>
      <c r="AH125" s="1">
        <v>106</v>
      </c>
      <c r="AI125" s="1">
        <v>90</v>
      </c>
      <c r="AJ125" s="1">
        <v>33</v>
      </c>
      <c r="AK125" s="1">
        <v>1524</v>
      </c>
      <c r="AL125" s="1">
        <v>0</v>
      </c>
      <c r="AM125" s="1">
        <v>334</v>
      </c>
      <c r="AN125" s="1">
        <v>0</v>
      </c>
      <c r="AO125" s="1">
        <v>647</v>
      </c>
      <c r="AP125" s="1">
        <v>0</v>
      </c>
      <c r="AQ125" s="1">
        <v>978</v>
      </c>
      <c r="AR125" s="1">
        <v>0</v>
      </c>
      <c r="AS125" s="1">
        <v>1768</v>
      </c>
      <c r="AT125" s="1">
        <v>0</v>
      </c>
      <c r="AU125" s="1">
        <v>3774</v>
      </c>
      <c r="AV125" s="1">
        <v>0</v>
      </c>
      <c r="AW125" s="1">
        <v>1488</v>
      </c>
      <c r="AX125" s="1">
        <v>0</v>
      </c>
      <c r="AY125" s="1">
        <v>4813</v>
      </c>
      <c r="AZ125" s="1">
        <v>0</v>
      </c>
      <c r="BA125" s="1">
        <v>864</v>
      </c>
    </row>
    <row r="126" spans="1:103">
      <c r="A126" s="19">
        <v>27071</v>
      </c>
      <c r="B126" s="1">
        <v>2024</v>
      </c>
      <c r="C126" s="1">
        <v>7036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31</v>
      </c>
      <c r="Q126" s="1">
        <v>0</v>
      </c>
      <c r="R126" s="1">
        <v>31</v>
      </c>
      <c r="S126" s="1">
        <v>0</v>
      </c>
      <c r="T126" s="1">
        <v>0</v>
      </c>
      <c r="U126" s="1">
        <v>366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366</v>
      </c>
      <c r="AF126" s="1">
        <v>0</v>
      </c>
      <c r="AG126" s="1">
        <v>31</v>
      </c>
      <c r="AH126" s="1">
        <v>0</v>
      </c>
      <c r="AI126" s="1">
        <v>0</v>
      </c>
      <c r="AJ126" s="1">
        <v>0</v>
      </c>
      <c r="AK126" s="1">
        <v>366</v>
      </c>
      <c r="AL126" s="1">
        <v>0</v>
      </c>
      <c r="AM126" s="1">
        <v>529</v>
      </c>
      <c r="AN126" s="1">
        <v>0</v>
      </c>
      <c r="AO126" s="1">
        <v>3852</v>
      </c>
      <c r="AP126" s="1">
        <v>0</v>
      </c>
      <c r="AQ126" s="1">
        <v>0</v>
      </c>
      <c r="AR126" s="1">
        <v>0</v>
      </c>
      <c r="AS126" s="1">
        <v>397</v>
      </c>
      <c r="AT126" s="1">
        <v>0</v>
      </c>
      <c r="AU126" s="1">
        <v>916</v>
      </c>
      <c r="AV126" s="1">
        <v>0</v>
      </c>
      <c r="AW126" s="1">
        <v>151</v>
      </c>
      <c r="AX126" s="1">
        <v>0</v>
      </c>
      <c r="AY126" s="1">
        <v>0</v>
      </c>
      <c r="AZ126" s="1">
        <v>0</v>
      </c>
      <c r="BA126" s="1">
        <v>0</v>
      </c>
    </row>
    <row r="127" spans="1:103">
      <c r="A127" s="19">
        <v>27072</v>
      </c>
      <c r="B127" s="1">
        <v>2024</v>
      </c>
      <c r="C127" s="1">
        <v>86687</v>
      </c>
      <c r="D127" s="1">
        <v>0</v>
      </c>
      <c r="E127" s="1">
        <v>8416</v>
      </c>
      <c r="F127" s="1">
        <v>180</v>
      </c>
      <c r="G127" s="1">
        <v>2548</v>
      </c>
      <c r="H127" s="1">
        <v>9797</v>
      </c>
      <c r="I127" s="1">
        <v>10063</v>
      </c>
      <c r="J127" s="1">
        <v>1336</v>
      </c>
      <c r="K127" s="1">
        <v>812</v>
      </c>
      <c r="L127" s="1">
        <v>1229</v>
      </c>
      <c r="M127" s="1">
        <v>2171</v>
      </c>
      <c r="N127" s="1">
        <v>1684</v>
      </c>
      <c r="O127" s="1">
        <v>4994</v>
      </c>
      <c r="P127" s="1">
        <v>1917</v>
      </c>
      <c r="Q127" s="1">
        <v>4020</v>
      </c>
      <c r="R127" s="1">
        <v>536</v>
      </c>
      <c r="S127" s="1">
        <v>1389</v>
      </c>
      <c r="T127" s="1">
        <v>1029</v>
      </c>
      <c r="U127" s="1">
        <v>1718</v>
      </c>
      <c r="V127" s="1">
        <v>684</v>
      </c>
      <c r="W127" s="1">
        <v>1864</v>
      </c>
      <c r="X127" s="1">
        <v>228</v>
      </c>
      <c r="Y127" s="1">
        <v>2300</v>
      </c>
      <c r="Z127" s="1">
        <v>314</v>
      </c>
      <c r="AA127" s="1">
        <v>1029</v>
      </c>
      <c r="AB127" s="1">
        <v>859</v>
      </c>
      <c r="AC127" s="1">
        <v>19</v>
      </c>
      <c r="AD127" s="1">
        <v>148</v>
      </c>
      <c r="AE127" s="1">
        <v>2271</v>
      </c>
      <c r="AF127" s="1">
        <v>16</v>
      </c>
      <c r="AG127" s="1">
        <v>1242</v>
      </c>
      <c r="AH127" s="1">
        <v>25</v>
      </c>
      <c r="AI127" s="1">
        <v>545</v>
      </c>
      <c r="AJ127" s="1">
        <v>621</v>
      </c>
      <c r="AK127" s="1">
        <v>1884</v>
      </c>
      <c r="AL127" s="1">
        <v>0</v>
      </c>
      <c r="AM127" s="1">
        <v>3189</v>
      </c>
      <c r="AN127" s="1">
        <v>0</v>
      </c>
      <c r="AO127" s="1">
        <v>1153</v>
      </c>
      <c r="AP127" s="1">
        <v>0</v>
      </c>
      <c r="AQ127" s="1">
        <v>1511</v>
      </c>
      <c r="AR127" s="1">
        <v>0</v>
      </c>
      <c r="AS127" s="1">
        <v>2887</v>
      </c>
      <c r="AT127" s="1">
        <v>0</v>
      </c>
      <c r="AU127" s="1">
        <v>5185</v>
      </c>
      <c r="AV127" s="1">
        <v>0</v>
      </c>
      <c r="AW127" s="1">
        <v>1782</v>
      </c>
      <c r="AX127" s="1">
        <v>0</v>
      </c>
      <c r="AY127" s="1">
        <v>2236</v>
      </c>
      <c r="AZ127" s="1">
        <v>0</v>
      </c>
      <c r="BA127" s="1">
        <v>856</v>
      </c>
    </row>
    <row r="128" spans="1:103">
      <c r="A128" s="19">
        <v>27074</v>
      </c>
      <c r="B128" s="1">
        <v>2024</v>
      </c>
      <c r="C128" s="1">
        <v>54834</v>
      </c>
      <c r="D128" s="1">
        <v>0</v>
      </c>
      <c r="E128" s="1">
        <v>0</v>
      </c>
      <c r="F128" s="1">
        <v>655</v>
      </c>
      <c r="G128" s="1">
        <v>527</v>
      </c>
      <c r="H128" s="1">
        <v>3720</v>
      </c>
      <c r="I128" s="1">
        <v>3140</v>
      </c>
      <c r="J128" s="1">
        <v>752</v>
      </c>
      <c r="K128" s="1">
        <v>1771</v>
      </c>
      <c r="L128" s="1">
        <v>0</v>
      </c>
      <c r="M128" s="1">
        <v>447</v>
      </c>
      <c r="N128" s="1">
        <v>191</v>
      </c>
      <c r="O128" s="1">
        <v>1759</v>
      </c>
      <c r="P128" s="1">
        <v>245</v>
      </c>
      <c r="Q128" s="1">
        <v>883</v>
      </c>
      <c r="R128" s="1">
        <v>0</v>
      </c>
      <c r="S128" s="1">
        <v>189</v>
      </c>
      <c r="T128" s="1">
        <v>27</v>
      </c>
      <c r="U128" s="1">
        <v>603</v>
      </c>
      <c r="V128" s="1">
        <v>106</v>
      </c>
      <c r="W128" s="1">
        <v>3536</v>
      </c>
      <c r="X128" s="1">
        <v>0</v>
      </c>
      <c r="Y128" s="1">
        <v>3100</v>
      </c>
      <c r="Z128" s="1">
        <v>0</v>
      </c>
      <c r="AA128" s="1">
        <v>130</v>
      </c>
      <c r="AB128" s="1">
        <v>0</v>
      </c>
      <c r="AC128" s="1">
        <v>1283</v>
      </c>
      <c r="AD128" s="1">
        <v>0</v>
      </c>
      <c r="AE128" s="1">
        <v>3327</v>
      </c>
      <c r="AF128" s="1">
        <v>152</v>
      </c>
      <c r="AG128" s="1">
        <v>2184</v>
      </c>
      <c r="AH128" s="1">
        <v>0</v>
      </c>
      <c r="AI128" s="1">
        <v>197</v>
      </c>
      <c r="AJ128" s="1">
        <v>0</v>
      </c>
      <c r="AK128" s="1">
        <v>104</v>
      </c>
      <c r="AL128" s="1">
        <v>0</v>
      </c>
      <c r="AM128" s="1">
        <v>1270</v>
      </c>
      <c r="AN128" s="1">
        <v>0</v>
      </c>
      <c r="AO128" s="1">
        <v>184</v>
      </c>
      <c r="AP128" s="1">
        <v>0</v>
      </c>
      <c r="AQ128" s="1">
        <v>4389</v>
      </c>
      <c r="AR128" s="1">
        <v>0</v>
      </c>
      <c r="AS128" s="1">
        <v>7776</v>
      </c>
      <c r="AT128" s="1">
        <v>0</v>
      </c>
      <c r="AU128" s="1">
        <v>11192</v>
      </c>
      <c r="AV128" s="1">
        <v>0</v>
      </c>
      <c r="AW128" s="1">
        <v>372</v>
      </c>
      <c r="AX128" s="1">
        <v>0</v>
      </c>
      <c r="AY128" s="1">
        <v>343</v>
      </c>
      <c r="AZ128" s="1">
        <v>0</v>
      </c>
      <c r="BA128" s="1">
        <v>280</v>
      </c>
    </row>
    <row r="129" spans="1:103">
      <c r="A129" s="19">
        <v>27075</v>
      </c>
      <c r="B129" s="1">
        <v>2024</v>
      </c>
      <c r="C129" s="1">
        <v>33483</v>
      </c>
      <c r="D129" s="1">
        <v>0</v>
      </c>
      <c r="E129" s="1">
        <v>366</v>
      </c>
      <c r="F129" s="1">
        <v>83</v>
      </c>
      <c r="G129" s="1">
        <v>105</v>
      </c>
      <c r="H129" s="1">
        <v>742</v>
      </c>
      <c r="I129" s="1">
        <v>1754</v>
      </c>
      <c r="J129" s="1">
        <v>112</v>
      </c>
      <c r="K129" s="1">
        <v>40</v>
      </c>
      <c r="L129" s="1">
        <v>96</v>
      </c>
      <c r="M129" s="1">
        <v>61</v>
      </c>
      <c r="N129" s="1">
        <v>0</v>
      </c>
      <c r="O129" s="1">
        <v>204</v>
      </c>
      <c r="P129" s="1">
        <v>0</v>
      </c>
      <c r="Q129" s="1">
        <v>275</v>
      </c>
      <c r="R129" s="1">
        <v>0</v>
      </c>
      <c r="S129" s="1">
        <v>219</v>
      </c>
      <c r="T129" s="1">
        <v>97</v>
      </c>
      <c r="U129" s="1">
        <v>751</v>
      </c>
      <c r="V129" s="1">
        <v>0</v>
      </c>
      <c r="W129" s="1">
        <v>843</v>
      </c>
      <c r="X129" s="1">
        <v>501</v>
      </c>
      <c r="Y129" s="1">
        <v>3390</v>
      </c>
      <c r="Z129" s="1">
        <v>31</v>
      </c>
      <c r="AA129" s="1">
        <v>492</v>
      </c>
      <c r="AB129" s="1">
        <v>204</v>
      </c>
      <c r="AC129" s="1">
        <v>401</v>
      </c>
      <c r="AD129" s="1">
        <v>6</v>
      </c>
      <c r="AE129" s="1">
        <v>648</v>
      </c>
      <c r="AF129" s="1">
        <v>0</v>
      </c>
      <c r="AG129" s="1">
        <v>1471</v>
      </c>
      <c r="AH129" s="1">
        <v>0</v>
      </c>
      <c r="AI129" s="1">
        <v>0</v>
      </c>
      <c r="AJ129" s="1">
        <v>0</v>
      </c>
      <c r="AK129" s="1">
        <v>262</v>
      </c>
      <c r="AL129" s="1">
        <v>0</v>
      </c>
      <c r="AM129" s="1">
        <v>272</v>
      </c>
      <c r="AN129" s="1">
        <v>0</v>
      </c>
      <c r="AO129" s="1">
        <v>326</v>
      </c>
      <c r="AP129" s="1">
        <v>0</v>
      </c>
      <c r="AQ129" s="1">
        <v>1612</v>
      </c>
      <c r="AR129" s="1">
        <v>0</v>
      </c>
      <c r="AS129" s="1">
        <v>2236</v>
      </c>
      <c r="AT129" s="1">
        <v>0</v>
      </c>
      <c r="AU129" s="1">
        <v>12862</v>
      </c>
      <c r="AV129" s="1">
        <v>0</v>
      </c>
      <c r="AW129" s="1">
        <v>1075</v>
      </c>
      <c r="AX129" s="1">
        <v>0</v>
      </c>
      <c r="AY129" s="1">
        <v>1904</v>
      </c>
      <c r="AZ129" s="1">
        <v>0</v>
      </c>
      <c r="BA129" s="1">
        <v>42</v>
      </c>
    </row>
    <row r="130" spans="1:103">
      <c r="A130" s="19">
        <v>27076</v>
      </c>
      <c r="B130" s="1">
        <v>2024</v>
      </c>
      <c r="C130" s="1">
        <v>20428</v>
      </c>
      <c r="D130" s="1">
        <v>0</v>
      </c>
      <c r="E130" s="1">
        <v>0</v>
      </c>
      <c r="F130" s="1">
        <v>6</v>
      </c>
      <c r="G130" s="1">
        <v>858</v>
      </c>
      <c r="H130" s="1">
        <v>2528</v>
      </c>
      <c r="I130" s="1">
        <v>1916</v>
      </c>
      <c r="J130" s="1">
        <v>494</v>
      </c>
      <c r="K130" s="1">
        <v>899</v>
      </c>
      <c r="L130" s="1">
        <v>0</v>
      </c>
      <c r="M130" s="1">
        <v>0</v>
      </c>
      <c r="N130" s="1">
        <v>120</v>
      </c>
      <c r="O130" s="1">
        <v>119</v>
      </c>
      <c r="P130" s="1">
        <v>10</v>
      </c>
      <c r="Q130" s="1">
        <v>0</v>
      </c>
      <c r="R130" s="1">
        <v>110</v>
      </c>
      <c r="S130" s="1">
        <v>22</v>
      </c>
      <c r="T130" s="1">
        <v>0</v>
      </c>
      <c r="U130" s="1">
        <v>303</v>
      </c>
      <c r="V130" s="1">
        <v>194</v>
      </c>
      <c r="W130" s="1">
        <v>248</v>
      </c>
      <c r="X130" s="1">
        <v>106</v>
      </c>
      <c r="Y130" s="1">
        <v>514</v>
      </c>
      <c r="Z130" s="1">
        <v>0</v>
      </c>
      <c r="AA130" s="1">
        <v>31</v>
      </c>
      <c r="AB130" s="1">
        <v>0</v>
      </c>
      <c r="AC130" s="1">
        <v>260</v>
      </c>
      <c r="AD130" s="1">
        <v>99</v>
      </c>
      <c r="AE130" s="1">
        <v>291</v>
      </c>
      <c r="AF130" s="1">
        <v>170</v>
      </c>
      <c r="AG130" s="1">
        <v>940</v>
      </c>
      <c r="AH130" s="1">
        <v>17</v>
      </c>
      <c r="AI130" s="1">
        <v>55</v>
      </c>
      <c r="AJ130" s="1">
        <v>104</v>
      </c>
      <c r="AK130" s="1">
        <v>388</v>
      </c>
      <c r="AL130" s="1">
        <v>0</v>
      </c>
      <c r="AM130" s="1">
        <v>462</v>
      </c>
      <c r="AN130" s="1">
        <v>0</v>
      </c>
      <c r="AO130" s="1">
        <v>1946</v>
      </c>
      <c r="AP130" s="1">
        <v>0</v>
      </c>
      <c r="AQ130" s="1">
        <v>1056</v>
      </c>
      <c r="AR130" s="1">
        <v>0</v>
      </c>
      <c r="AS130" s="1">
        <v>2578</v>
      </c>
      <c r="AT130" s="1">
        <v>0</v>
      </c>
      <c r="AU130" s="1">
        <v>2342</v>
      </c>
      <c r="AV130" s="1">
        <v>0</v>
      </c>
      <c r="AW130" s="1">
        <v>266</v>
      </c>
      <c r="AX130" s="1">
        <v>0</v>
      </c>
      <c r="AY130" s="1">
        <v>958</v>
      </c>
      <c r="AZ130" s="1">
        <v>0</v>
      </c>
      <c r="BA130" s="1">
        <v>18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</row>
    <row r="131" spans="1:103">
      <c r="A131" s="19">
        <v>27077</v>
      </c>
      <c r="B131" s="1">
        <v>2024</v>
      </c>
      <c r="C131" s="1">
        <v>20322</v>
      </c>
      <c r="D131" s="1">
        <v>0</v>
      </c>
      <c r="E131" s="1">
        <v>0</v>
      </c>
      <c r="F131" s="1">
        <v>0</v>
      </c>
      <c r="G131" s="1">
        <v>127</v>
      </c>
      <c r="H131" s="1">
        <v>2177</v>
      </c>
      <c r="I131" s="1">
        <v>1659</v>
      </c>
      <c r="J131" s="1">
        <v>1283</v>
      </c>
      <c r="K131" s="1">
        <v>611</v>
      </c>
      <c r="L131" s="1">
        <v>0</v>
      </c>
      <c r="M131" s="1">
        <v>101</v>
      </c>
      <c r="N131" s="1">
        <v>0</v>
      </c>
      <c r="O131" s="1">
        <v>8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680</v>
      </c>
      <c r="V131" s="1">
        <v>0</v>
      </c>
      <c r="W131" s="1">
        <v>1398</v>
      </c>
      <c r="X131" s="1">
        <v>4</v>
      </c>
      <c r="Y131" s="1">
        <v>565</v>
      </c>
      <c r="Z131" s="1">
        <v>59</v>
      </c>
      <c r="AA131" s="1">
        <v>30</v>
      </c>
      <c r="AB131" s="1">
        <v>62</v>
      </c>
      <c r="AC131" s="1">
        <v>273</v>
      </c>
      <c r="AD131" s="1">
        <v>80</v>
      </c>
      <c r="AE131" s="1">
        <v>812</v>
      </c>
      <c r="AF131" s="1">
        <v>0</v>
      </c>
      <c r="AG131" s="1">
        <v>527</v>
      </c>
      <c r="AH131" s="1">
        <v>66</v>
      </c>
      <c r="AI131" s="1">
        <v>61</v>
      </c>
      <c r="AJ131" s="1">
        <v>64</v>
      </c>
      <c r="AK131" s="1">
        <v>589</v>
      </c>
      <c r="AL131" s="1">
        <v>0</v>
      </c>
      <c r="AM131" s="1">
        <v>719</v>
      </c>
      <c r="AN131" s="1">
        <v>0</v>
      </c>
      <c r="AO131" s="1">
        <v>309</v>
      </c>
      <c r="AP131" s="1">
        <v>0</v>
      </c>
      <c r="AQ131" s="1">
        <v>867</v>
      </c>
      <c r="AR131" s="1">
        <v>0</v>
      </c>
      <c r="AS131" s="1">
        <v>796</v>
      </c>
      <c r="AT131" s="1">
        <v>0</v>
      </c>
      <c r="AU131" s="1">
        <v>2253</v>
      </c>
      <c r="AV131" s="1">
        <v>0</v>
      </c>
      <c r="AW131" s="1">
        <v>844</v>
      </c>
      <c r="AX131" s="1">
        <v>0</v>
      </c>
      <c r="AY131" s="1">
        <v>3298</v>
      </c>
      <c r="AZ131" s="1">
        <v>0</v>
      </c>
      <c r="BA131" s="1">
        <v>0</v>
      </c>
    </row>
    <row r="132" spans="1:103">
      <c r="A132" s="19">
        <v>27090</v>
      </c>
      <c r="B132" s="1">
        <v>2024</v>
      </c>
      <c r="C132" s="1">
        <v>22262</v>
      </c>
      <c r="D132" s="1">
        <v>0</v>
      </c>
      <c r="E132" s="1">
        <v>0</v>
      </c>
      <c r="F132" s="1">
        <v>137</v>
      </c>
      <c r="G132" s="1">
        <v>151</v>
      </c>
      <c r="H132" s="1">
        <v>2723</v>
      </c>
      <c r="I132" s="1">
        <v>3456</v>
      </c>
      <c r="J132" s="1">
        <v>980</v>
      </c>
      <c r="K132" s="1">
        <v>15</v>
      </c>
      <c r="L132" s="1">
        <v>0</v>
      </c>
      <c r="M132" s="1">
        <v>61</v>
      </c>
      <c r="N132" s="1">
        <v>0</v>
      </c>
      <c r="O132" s="1">
        <v>0</v>
      </c>
      <c r="P132" s="1">
        <v>140</v>
      </c>
      <c r="Q132" s="1">
        <v>75</v>
      </c>
      <c r="R132" s="1">
        <v>19</v>
      </c>
      <c r="S132" s="1">
        <v>81</v>
      </c>
      <c r="T132" s="1">
        <v>0</v>
      </c>
      <c r="U132" s="1">
        <v>424</v>
      </c>
      <c r="V132" s="1">
        <v>248</v>
      </c>
      <c r="W132" s="1">
        <v>478</v>
      </c>
      <c r="X132" s="1">
        <v>123</v>
      </c>
      <c r="Y132" s="1">
        <v>757</v>
      </c>
      <c r="Z132" s="1">
        <v>16</v>
      </c>
      <c r="AA132" s="1">
        <v>102</v>
      </c>
      <c r="AB132" s="1">
        <v>0</v>
      </c>
      <c r="AC132" s="1">
        <v>257</v>
      </c>
      <c r="AD132" s="1">
        <v>0</v>
      </c>
      <c r="AE132" s="1">
        <v>409</v>
      </c>
      <c r="AF132" s="1">
        <v>0</v>
      </c>
      <c r="AG132" s="1">
        <v>1157</v>
      </c>
      <c r="AH132" s="1">
        <v>0</v>
      </c>
      <c r="AI132" s="1">
        <v>0</v>
      </c>
      <c r="AJ132" s="1">
        <v>0</v>
      </c>
      <c r="AK132" s="1">
        <v>184</v>
      </c>
      <c r="AL132" s="1">
        <v>0</v>
      </c>
      <c r="AM132" s="1">
        <v>220</v>
      </c>
      <c r="AN132" s="1">
        <v>0</v>
      </c>
      <c r="AO132" s="1">
        <v>0</v>
      </c>
      <c r="AP132" s="1">
        <v>0</v>
      </c>
      <c r="AQ132" s="1">
        <v>195</v>
      </c>
      <c r="AR132" s="1">
        <v>0</v>
      </c>
      <c r="AS132" s="1">
        <v>1851</v>
      </c>
      <c r="AT132" s="1">
        <v>0</v>
      </c>
      <c r="AU132" s="1">
        <v>5547</v>
      </c>
      <c r="AV132" s="1">
        <v>0</v>
      </c>
      <c r="AW132" s="1">
        <v>751</v>
      </c>
      <c r="AX132" s="1">
        <v>0</v>
      </c>
      <c r="AY132" s="1">
        <v>481</v>
      </c>
      <c r="AZ132" s="1">
        <v>0</v>
      </c>
      <c r="BA132" s="1">
        <v>1224</v>
      </c>
    </row>
    <row r="133" spans="1:103">
      <c r="A133" s="19">
        <v>27092</v>
      </c>
      <c r="B133" s="1">
        <v>2024</v>
      </c>
      <c r="C133" s="1">
        <v>15867</v>
      </c>
      <c r="D133" s="1">
        <v>0</v>
      </c>
      <c r="E133" s="1">
        <v>0</v>
      </c>
      <c r="F133" s="1">
        <v>101</v>
      </c>
      <c r="G133" s="1">
        <v>83</v>
      </c>
      <c r="H133" s="1">
        <v>3956</v>
      </c>
      <c r="I133" s="1">
        <v>7527</v>
      </c>
      <c r="J133" s="1">
        <v>618</v>
      </c>
      <c r="K133" s="1">
        <v>637</v>
      </c>
      <c r="L133" s="1">
        <v>0</v>
      </c>
      <c r="M133" s="1">
        <v>18</v>
      </c>
      <c r="N133" s="1">
        <v>229</v>
      </c>
      <c r="O133" s="1">
        <v>36</v>
      </c>
      <c r="P133" s="1">
        <v>224</v>
      </c>
      <c r="Q133" s="1">
        <v>74</v>
      </c>
      <c r="R133" s="1">
        <v>0</v>
      </c>
      <c r="S133" s="1">
        <v>444</v>
      </c>
      <c r="T133" s="1">
        <v>0</v>
      </c>
      <c r="U133" s="1">
        <v>0</v>
      </c>
      <c r="V133" s="1">
        <v>0</v>
      </c>
      <c r="W133" s="1">
        <v>53</v>
      </c>
      <c r="X133" s="1">
        <v>0</v>
      </c>
      <c r="Y133" s="1">
        <v>5</v>
      </c>
      <c r="Z133" s="1">
        <v>0</v>
      </c>
      <c r="AA133" s="1">
        <v>24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160</v>
      </c>
      <c r="AL133" s="1">
        <v>0</v>
      </c>
      <c r="AM133" s="1">
        <v>30</v>
      </c>
      <c r="AN133" s="1">
        <v>0</v>
      </c>
      <c r="AO133" s="1">
        <v>12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156</v>
      </c>
      <c r="AV133" s="1">
        <v>0</v>
      </c>
      <c r="AW133" s="1">
        <v>17</v>
      </c>
      <c r="AX133" s="1">
        <v>0</v>
      </c>
      <c r="AY133" s="1">
        <v>87</v>
      </c>
      <c r="AZ133" s="1">
        <v>0</v>
      </c>
      <c r="BA133" s="1">
        <v>1376</v>
      </c>
    </row>
    <row r="134" spans="1:103">
      <c r="A134" s="19">
        <v>27093</v>
      </c>
      <c r="B134" s="1">
        <v>2024</v>
      </c>
      <c r="C134" s="1">
        <v>14936</v>
      </c>
      <c r="D134" s="1">
        <v>0</v>
      </c>
      <c r="E134" s="1">
        <v>0</v>
      </c>
      <c r="F134" s="1">
        <v>111</v>
      </c>
      <c r="G134" s="1">
        <v>261</v>
      </c>
      <c r="H134" s="1">
        <v>1155</v>
      </c>
      <c r="I134" s="1">
        <v>678</v>
      </c>
      <c r="J134" s="1">
        <v>489</v>
      </c>
      <c r="K134" s="1">
        <v>59</v>
      </c>
      <c r="L134" s="1">
        <v>84</v>
      </c>
      <c r="M134" s="1">
        <v>0</v>
      </c>
      <c r="N134" s="1">
        <v>38</v>
      </c>
      <c r="O134" s="1">
        <v>0</v>
      </c>
      <c r="P134" s="1">
        <v>24</v>
      </c>
      <c r="Q134" s="1">
        <v>86</v>
      </c>
      <c r="R134" s="1">
        <v>0</v>
      </c>
      <c r="S134" s="1">
        <v>48</v>
      </c>
      <c r="T134" s="1">
        <v>169</v>
      </c>
      <c r="U134" s="1">
        <v>526</v>
      </c>
      <c r="V134" s="1">
        <v>174</v>
      </c>
      <c r="W134" s="1">
        <v>584</v>
      </c>
      <c r="X134" s="1">
        <v>264</v>
      </c>
      <c r="Y134" s="1">
        <v>392</v>
      </c>
      <c r="Z134" s="1">
        <v>0</v>
      </c>
      <c r="AA134" s="1">
        <v>91</v>
      </c>
      <c r="AB134" s="1">
        <v>0</v>
      </c>
      <c r="AC134" s="1">
        <v>166</v>
      </c>
      <c r="AD134" s="1">
        <v>171</v>
      </c>
      <c r="AE134" s="1">
        <v>0</v>
      </c>
      <c r="AF134" s="1">
        <v>0</v>
      </c>
      <c r="AG134" s="1">
        <v>88</v>
      </c>
      <c r="AH134" s="1">
        <v>0</v>
      </c>
      <c r="AI134" s="1">
        <v>212</v>
      </c>
      <c r="AJ134" s="1">
        <v>0</v>
      </c>
      <c r="AK134" s="1">
        <v>70</v>
      </c>
      <c r="AL134" s="1">
        <v>0</v>
      </c>
      <c r="AM134" s="1">
        <v>1413</v>
      </c>
      <c r="AN134" s="1">
        <v>0</v>
      </c>
      <c r="AO134" s="1">
        <v>1200</v>
      </c>
      <c r="AP134" s="1">
        <v>0</v>
      </c>
      <c r="AQ134" s="1">
        <v>504</v>
      </c>
      <c r="AR134" s="1">
        <v>0</v>
      </c>
      <c r="AS134" s="1">
        <v>1199</v>
      </c>
      <c r="AT134" s="1">
        <v>0</v>
      </c>
      <c r="AU134" s="1">
        <v>2385</v>
      </c>
      <c r="AV134" s="1">
        <v>0</v>
      </c>
      <c r="AW134" s="1">
        <v>1141</v>
      </c>
      <c r="AX134" s="1">
        <v>0</v>
      </c>
      <c r="AY134" s="1">
        <v>714</v>
      </c>
      <c r="AZ134" s="1">
        <v>440</v>
      </c>
      <c r="BA134" s="1">
        <v>0</v>
      </c>
    </row>
    <row r="135" spans="1:103">
      <c r="A135" s="19">
        <v>27095</v>
      </c>
      <c r="B135" s="1">
        <v>2024</v>
      </c>
      <c r="C135" s="1">
        <v>20951</v>
      </c>
      <c r="D135" s="1">
        <v>0</v>
      </c>
      <c r="E135" s="1">
        <v>0</v>
      </c>
      <c r="F135" s="1">
        <v>404</v>
      </c>
      <c r="G135" s="1">
        <v>554</v>
      </c>
      <c r="H135" s="1">
        <v>5994</v>
      </c>
      <c r="I135" s="1">
        <v>8699</v>
      </c>
      <c r="J135" s="1">
        <v>1882</v>
      </c>
      <c r="K135" s="1">
        <v>450</v>
      </c>
      <c r="L135" s="1">
        <v>43</v>
      </c>
      <c r="M135" s="1">
        <v>0</v>
      </c>
      <c r="N135" s="1">
        <v>0</v>
      </c>
      <c r="O135" s="1">
        <v>91</v>
      </c>
      <c r="P135" s="1">
        <v>0</v>
      </c>
      <c r="Q135" s="1">
        <v>273</v>
      </c>
      <c r="R135" s="1">
        <v>0</v>
      </c>
      <c r="S135" s="1">
        <v>65</v>
      </c>
      <c r="T135" s="1">
        <v>0</v>
      </c>
      <c r="U135" s="1">
        <v>307</v>
      </c>
      <c r="V135" s="1">
        <v>93</v>
      </c>
      <c r="W135" s="1">
        <v>94</v>
      </c>
      <c r="X135" s="1">
        <v>0</v>
      </c>
      <c r="Y135" s="1">
        <v>104</v>
      </c>
      <c r="Z135" s="1">
        <v>0</v>
      </c>
      <c r="AA135" s="1">
        <v>5</v>
      </c>
      <c r="AB135" s="1">
        <v>0</v>
      </c>
      <c r="AC135" s="1">
        <v>92</v>
      </c>
      <c r="AD135" s="1">
        <v>0</v>
      </c>
      <c r="AE135" s="1">
        <v>255</v>
      </c>
      <c r="AF135" s="1">
        <v>0</v>
      </c>
      <c r="AG135" s="1">
        <v>109</v>
      </c>
      <c r="AH135" s="1">
        <v>0</v>
      </c>
      <c r="AI135" s="1">
        <v>97</v>
      </c>
      <c r="AJ135" s="1">
        <v>13</v>
      </c>
      <c r="AK135" s="1">
        <v>130</v>
      </c>
      <c r="AL135" s="1">
        <v>0</v>
      </c>
      <c r="AM135" s="1">
        <v>0</v>
      </c>
      <c r="AN135" s="1">
        <v>0</v>
      </c>
      <c r="AO135" s="1">
        <v>20</v>
      </c>
      <c r="AP135" s="1">
        <v>0</v>
      </c>
      <c r="AQ135" s="1">
        <v>11</v>
      </c>
      <c r="AR135" s="1">
        <v>0</v>
      </c>
      <c r="AS135" s="1">
        <v>368</v>
      </c>
      <c r="AT135" s="1">
        <v>0</v>
      </c>
      <c r="AU135" s="1">
        <v>569</v>
      </c>
      <c r="AV135" s="1">
        <v>0</v>
      </c>
      <c r="AW135" s="1">
        <v>48</v>
      </c>
      <c r="AX135" s="1">
        <v>0</v>
      </c>
      <c r="AY135" s="1">
        <v>181</v>
      </c>
      <c r="AZ135" s="1">
        <v>0</v>
      </c>
      <c r="BA135" s="1">
        <v>0</v>
      </c>
    </row>
    <row r="136" spans="1:103">
      <c r="A136" s="19">
        <v>28001</v>
      </c>
      <c r="B136" s="1">
        <v>2024</v>
      </c>
      <c r="C136" s="1">
        <v>11075</v>
      </c>
      <c r="D136" s="1">
        <v>0</v>
      </c>
      <c r="E136" s="1">
        <v>0</v>
      </c>
      <c r="F136" s="1">
        <v>18</v>
      </c>
      <c r="G136" s="1">
        <v>48</v>
      </c>
      <c r="H136" s="1">
        <v>419</v>
      </c>
      <c r="I136" s="1">
        <v>1397</v>
      </c>
      <c r="J136" s="1">
        <v>1220</v>
      </c>
      <c r="K136" s="1">
        <v>40</v>
      </c>
      <c r="L136" s="1">
        <v>0</v>
      </c>
      <c r="M136" s="1">
        <v>15</v>
      </c>
      <c r="N136" s="1">
        <v>0</v>
      </c>
      <c r="O136" s="1">
        <v>183</v>
      </c>
      <c r="P136" s="1">
        <v>0</v>
      </c>
      <c r="Q136" s="1">
        <v>0</v>
      </c>
      <c r="R136" s="1">
        <v>0</v>
      </c>
      <c r="S136" s="1">
        <v>50</v>
      </c>
      <c r="T136" s="1">
        <v>0</v>
      </c>
      <c r="U136" s="1">
        <v>0</v>
      </c>
      <c r="V136" s="1">
        <v>0</v>
      </c>
      <c r="W136" s="1">
        <v>362</v>
      </c>
      <c r="X136" s="1">
        <v>0</v>
      </c>
      <c r="Y136" s="1">
        <v>457</v>
      </c>
      <c r="Z136" s="1">
        <v>0</v>
      </c>
      <c r="AA136" s="1">
        <v>0</v>
      </c>
      <c r="AB136" s="1">
        <v>6</v>
      </c>
      <c r="AC136" s="1">
        <v>0</v>
      </c>
      <c r="AD136" s="1">
        <v>0</v>
      </c>
      <c r="AE136" s="1">
        <v>397</v>
      </c>
      <c r="AF136" s="1">
        <v>0</v>
      </c>
      <c r="AG136" s="1">
        <v>170</v>
      </c>
      <c r="AH136" s="1">
        <v>0</v>
      </c>
      <c r="AI136" s="1">
        <v>245</v>
      </c>
      <c r="AJ136" s="1">
        <v>0</v>
      </c>
      <c r="AK136" s="1">
        <v>144</v>
      </c>
      <c r="AL136" s="1">
        <v>0</v>
      </c>
      <c r="AM136" s="1">
        <v>240</v>
      </c>
      <c r="AN136" s="1">
        <v>0</v>
      </c>
      <c r="AO136" s="1">
        <v>385</v>
      </c>
      <c r="AP136" s="1">
        <v>0</v>
      </c>
      <c r="AQ136" s="1">
        <v>973</v>
      </c>
      <c r="AR136" s="1">
        <v>0</v>
      </c>
      <c r="AS136" s="1">
        <v>637</v>
      </c>
      <c r="AT136" s="1">
        <v>0</v>
      </c>
      <c r="AU136" s="1">
        <v>1599</v>
      </c>
      <c r="AV136" s="1">
        <v>0</v>
      </c>
      <c r="AW136" s="1">
        <v>1694</v>
      </c>
      <c r="AX136" s="1">
        <v>0</v>
      </c>
      <c r="AY136" s="1">
        <v>376</v>
      </c>
      <c r="AZ136" s="1">
        <v>0</v>
      </c>
      <c r="BA136" s="1">
        <v>0</v>
      </c>
    </row>
    <row r="137" spans="1:103">
      <c r="A137" s="19">
        <v>28003</v>
      </c>
      <c r="B137" s="1">
        <v>2024</v>
      </c>
      <c r="C137" s="1">
        <v>9491</v>
      </c>
      <c r="D137" s="1">
        <v>0</v>
      </c>
      <c r="E137" s="1">
        <v>0</v>
      </c>
      <c r="F137" s="1">
        <v>0</v>
      </c>
      <c r="G137" s="1">
        <v>397</v>
      </c>
      <c r="H137" s="1">
        <v>645</v>
      </c>
      <c r="I137" s="1">
        <v>1082</v>
      </c>
      <c r="J137" s="1">
        <v>336</v>
      </c>
      <c r="K137" s="1">
        <v>35</v>
      </c>
      <c r="L137" s="1">
        <v>0</v>
      </c>
      <c r="M137" s="1">
        <v>471</v>
      </c>
      <c r="N137" s="1">
        <v>0</v>
      </c>
      <c r="O137" s="1">
        <v>286</v>
      </c>
      <c r="P137" s="1">
        <v>28</v>
      </c>
      <c r="Q137" s="1">
        <v>90</v>
      </c>
      <c r="R137" s="1">
        <v>0</v>
      </c>
      <c r="S137" s="1">
        <v>98</v>
      </c>
      <c r="T137" s="1">
        <v>0</v>
      </c>
      <c r="U137" s="1">
        <v>80</v>
      </c>
      <c r="V137" s="1">
        <v>0</v>
      </c>
      <c r="W137" s="1">
        <v>191</v>
      </c>
      <c r="X137" s="1">
        <v>0</v>
      </c>
      <c r="Y137" s="1">
        <v>184</v>
      </c>
      <c r="Z137" s="1">
        <v>0</v>
      </c>
      <c r="AA137" s="1">
        <v>0</v>
      </c>
      <c r="AB137" s="1">
        <v>0</v>
      </c>
      <c r="AC137" s="1">
        <v>105</v>
      </c>
      <c r="AD137" s="1">
        <v>0</v>
      </c>
      <c r="AE137" s="1">
        <v>299</v>
      </c>
      <c r="AF137" s="1">
        <v>0</v>
      </c>
      <c r="AG137" s="1">
        <v>439</v>
      </c>
      <c r="AH137" s="1">
        <v>0</v>
      </c>
      <c r="AI137" s="1">
        <v>0</v>
      </c>
      <c r="AJ137" s="1">
        <v>0</v>
      </c>
      <c r="AK137" s="1">
        <v>168</v>
      </c>
      <c r="AL137" s="1">
        <v>0</v>
      </c>
      <c r="AM137" s="1">
        <v>119</v>
      </c>
      <c r="AN137" s="1">
        <v>0</v>
      </c>
      <c r="AO137" s="1">
        <v>460</v>
      </c>
      <c r="AP137" s="1">
        <v>0</v>
      </c>
      <c r="AQ137" s="1">
        <v>52</v>
      </c>
      <c r="AR137" s="1">
        <v>0</v>
      </c>
      <c r="AS137" s="1">
        <v>786</v>
      </c>
      <c r="AT137" s="1">
        <v>0</v>
      </c>
      <c r="AU137" s="1">
        <v>2221</v>
      </c>
      <c r="AV137" s="1">
        <v>0</v>
      </c>
      <c r="AW137" s="1">
        <v>110</v>
      </c>
      <c r="AX137" s="1">
        <v>0</v>
      </c>
      <c r="AY137" s="1">
        <v>719</v>
      </c>
      <c r="AZ137" s="1">
        <v>0</v>
      </c>
      <c r="BA137" s="1">
        <v>90</v>
      </c>
    </row>
    <row r="138" spans="1:103">
      <c r="A138" s="19">
        <v>28004</v>
      </c>
      <c r="B138" s="1">
        <v>2024</v>
      </c>
      <c r="C138" s="1">
        <v>10953</v>
      </c>
      <c r="D138" s="1">
        <v>0</v>
      </c>
      <c r="E138" s="1">
        <v>62</v>
      </c>
      <c r="F138" s="1">
        <v>0</v>
      </c>
      <c r="G138" s="1">
        <v>0</v>
      </c>
      <c r="H138" s="1">
        <v>636</v>
      </c>
      <c r="I138" s="1">
        <v>470</v>
      </c>
      <c r="J138" s="1">
        <v>196</v>
      </c>
      <c r="K138" s="1">
        <v>44</v>
      </c>
      <c r="L138" s="1">
        <v>0</v>
      </c>
      <c r="M138" s="1">
        <v>0</v>
      </c>
      <c r="N138" s="1">
        <v>0</v>
      </c>
      <c r="O138" s="1">
        <v>34</v>
      </c>
      <c r="P138" s="1">
        <v>11</v>
      </c>
      <c r="Q138" s="1">
        <v>92</v>
      </c>
      <c r="R138" s="1">
        <v>0</v>
      </c>
      <c r="S138" s="1">
        <v>39</v>
      </c>
      <c r="T138" s="1">
        <v>0</v>
      </c>
      <c r="U138" s="1">
        <v>92</v>
      </c>
      <c r="V138" s="1">
        <v>0</v>
      </c>
      <c r="W138" s="1">
        <v>426</v>
      </c>
      <c r="X138" s="1">
        <v>65</v>
      </c>
      <c r="Y138" s="1">
        <v>641</v>
      </c>
      <c r="Z138" s="1">
        <v>0</v>
      </c>
      <c r="AA138" s="1">
        <v>131</v>
      </c>
      <c r="AB138" s="1">
        <v>0</v>
      </c>
      <c r="AC138" s="1">
        <v>0</v>
      </c>
      <c r="AD138" s="1">
        <v>0</v>
      </c>
      <c r="AE138" s="1">
        <v>267</v>
      </c>
      <c r="AF138" s="1">
        <v>31</v>
      </c>
      <c r="AG138" s="1">
        <v>955</v>
      </c>
      <c r="AH138" s="1">
        <v>0</v>
      </c>
      <c r="AI138" s="1">
        <v>273</v>
      </c>
      <c r="AJ138" s="1">
        <v>22</v>
      </c>
      <c r="AK138" s="1">
        <v>94</v>
      </c>
      <c r="AL138" s="1">
        <v>0</v>
      </c>
      <c r="AM138" s="1">
        <v>943</v>
      </c>
      <c r="AN138" s="1">
        <v>0</v>
      </c>
      <c r="AO138" s="1">
        <v>215</v>
      </c>
      <c r="AP138" s="1">
        <v>0</v>
      </c>
      <c r="AQ138" s="1">
        <v>440</v>
      </c>
      <c r="AR138" s="1">
        <v>0</v>
      </c>
      <c r="AS138" s="1">
        <v>1245</v>
      </c>
      <c r="AT138" s="1">
        <v>0</v>
      </c>
      <c r="AU138" s="1">
        <v>2058</v>
      </c>
      <c r="AV138" s="1">
        <v>0</v>
      </c>
      <c r="AW138" s="1">
        <v>516</v>
      </c>
      <c r="AX138" s="1">
        <v>0</v>
      </c>
      <c r="AY138" s="1">
        <v>635</v>
      </c>
      <c r="AZ138" s="1">
        <v>0</v>
      </c>
      <c r="BA138" s="1">
        <v>320</v>
      </c>
    </row>
    <row r="139" spans="1:103">
      <c r="A139" s="19">
        <v>29001</v>
      </c>
      <c r="B139" s="1">
        <v>2024</v>
      </c>
      <c r="C139" s="1">
        <v>13598</v>
      </c>
      <c r="D139" s="1">
        <v>0</v>
      </c>
      <c r="E139" s="1">
        <v>0</v>
      </c>
      <c r="F139" s="1">
        <v>187</v>
      </c>
      <c r="G139" s="1">
        <v>72</v>
      </c>
      <c r="H139" s="1">
        <v>625</v>
      </c>
      <c r="I139" s="1">
        <v>820</v>
      </c>
      <c r="J139" s="1">
        <v>482</v>
      </c>
      <c r="K139" s="1">
        <v>63</v>
      </c>
      <c r="L139" s="1">
        <v>0</v>
      </c>
      <c r="M139" s="1">
        <v>0</v>
      </c>
      <c r="N139" s="1">
        <v>0</v>
      </c>
      <c r="O139" s="1">
        <v>80</v>
      </c>
      <c r="P139" s="1">
        <v>6</v>
      </c>
      <c r="Q139" s="1">
        <v>120</v>
      </c>
      <c r="R139" s="1">
        <v>0</v>
      </c>
      <c r="S139" s="1">
        <v>92</v>
      </c>
      <c r="T139" s="1">
        <v>0</v>
      </c>
      <c r="U139" s="1">
        <v>0</v>
      </c>
      <c r="V139" s="1">
        <v>0</v>
      </c>
      <c r="W139" s="1">
        <v>4</v>
      </c>
      <c r="X139" s="1">
        <v>0</v>
      </c>
      <c r="Y139" s="1">
        <v>719</v>
      </c>
      <c r="Z139" s="1">
        <v>0</v>
      </c>
      <c r="AA139" s="1">
        <v>27</v>
      </c>
      <c r="AB139" s="1">
        <v>0</v>
      </c>
      <c r="AC139" s="1">
        <v>0</v>
      </c>
      <c r="AD139" s="1">
        <v>0</v>
      </c>
      <c r="AE139" s="1">
        <v>328</v>
      </c>
      <c r="AF139" s="1">
        <v>187</v>
      </c>
      <c r="AG139" s="1">
        <v>1824</v>
      </c>
      <c r="AH139" s="1">
        <v>0</v>
      </c>
      <c r="AI139" s="1">
        <v>161</v>
      </c>
      <c r="AJ139" s="1">
        <v>0</v>
      </c>
      <c r="AK139" s="1">
        <v>538</v>
      </c>
      <c r="AL139" s="1">
        <v>0</v>
      </c>
      <c r="AM139" s="1">
        <v>85</v>
      </c>
      <c r="AN139" s="1">
        <v>0</v>
      </c>
      <c r="AO139" s="1">
        <v>182</v>
      </c>
      <c r="AP139" s="1">
        <v>0</v>
      </c>
      <c r="AQ139" s="1">
        <v>373</v>
      </c>
      <c r="AR139" s="1">
        <v>44</v>
      </c>
      <c r="AS139" s="1">
        <v>1267</v>
      </c>
      <c r="AT139" s="1">
        <v>78</v>
      </c>
      <c r="AU139" s="1">
        <v>1549</v>
      </c>
      <c r="AV139" s="1">
        <v>26</v>
      </c>
      <c r="AW139" s="1">
        <v>563</v>
      </c>
      <c r="AX139" s="1">
        <v>242</v>
      </c>
      <c r="AY139" s="1">
        <v>2854</v>
      </c>
      <c r="AZ139" s="1">
        <v>0</v>
      </c>
      <c r="BA139" s="1">
        <v>0</v>
      </c>
    </row>
    <row r="140" spans="1:103">
      <c r="A140" s="19">
        <v>30001</v>
      </c>
      <c r="B140" s="1">
        <v>2024</v>
      </c>
      <c r="C140" s="1">
        <v>37536</v>
      </c>
      <c r="D140" s="1">
        <v>0</v>
      </c>
      <c r="E140" s="1">
        <v>0</v>
      </c>
      <c r="F140" s="1">
        <v>103</v>
      </c>
      <c r="G140" s="1">
        <v>127</v>
      </c>
      <c r="H140" s="1">
        <v>848</v>
      </c>
      <c r="I140" s="1">
        <v>1565</v>
      </c>
      <c r="J140" s="1">
        <v>994</v>
      </c>
      <c r="K140" s="1">
        <v>12</v>
      </c>
      <c r="L140" s="1">
        <v>0</v>
      </c>
      <c r="M140" s="1">
        <v>0</v>
      </c>
      <c r="N140" s="1">
        <v>119</v>
      </c>
      <c r="O140" s="1">
        <v>206</v>
      </c>
      <c r="P140" s="1">
        <v>61</v>
      </c>
      <c r="Q140" s="1">
        <v>881</v>
      </c>
      <c r="R140" s="1">
        <v>0</v>
      </c>
      <c r="S140" s="1">
        <v>196</v>
      </c>
      <c r="T140" s="1">
        <v>123</v>
      </c>
      <c r="U140" s="1">
        <v>1663</v>
      </c>
      <c r="V140" s="1">
        <v>15</v>
      </c>
      <c r="W140" s="1">
        <v>1913</v>
      </c>
      <c r="X140" s="1">
        <v>226</v>
      </c>
      <c r="Y140" s="1">
        <v>2467</v>
      </c>
      <c r="Z140" s="1">
        <v>76</v>
      </c>
      <c r="AA140" s="1">
        <v>407</v>
      </c>
      <c r="AB140" s="1">
        <v>15</v>
      </c>
      <c r="AC140" s="1">
        <v>251</v>
      </c>
      <c r="AD140" s="1">
        <v>0</v>
      </c>
      <c r="AE140" s="1">
        <v>1370</v>
      </c>
      <c r="AF140" s="1">
        <v>0</v>
      </c>
      <c r="AG140" s="1">
        <v>3462</v>
      </c>
      <c r="AH140" s="1">
        <v>0</v>
      </c>
      <c r="AI140" s="1">
        <v>81</v>
      </c>
      <c r="AJ140" s="1">
        <v>0</v>
      </c>
      <c r="AK140" s="1">
        <v>563</v>
      </c>
      <c r="AL140" s="1">
        <v>0</v>
      </c>
      <c r="AM140" s="1">
        <v>1291</v>
      </c>
      <c r="AN140" s="1">
        <v>0</v>
      </c>
      <c r="AO140" s="1">
        <v>889</v>
      </c>
      <c r="AP140" s="1">
        <v>0</v>
      </c>
      <c r="AQ140" s="1">
        <v>1270</v>
      </c>
      <c r="AR140" s="1">
        <v>0</v>
      </c>
      <c r="AS140" s="1">
        <v>2647</v>
      </c>
      <c r="AT140" s="1">
        <v>0</v>
      </c>
      <c r="AU140" s="1">
        <v>9963</v>
      </c>
      <c r="AV140" s="1">
        <v>0</v>
      </c>
      <c r="AW140" s="1">
        <v>1648</v>
      </c>
      <c r="AX140" s="1">
        <v>0</v>
      </c>
      <c r="AY140" s="1">
        <v>2084</v>
      </c>
      <c r="AZ140" s="1">
        <v>0</v>
      </c>
      <c r="BA140" s="1">
        <v>0</v>
      </c>
    </row>
    <row r="141" spans="1:103">
      <c r="A141" s="19">
        <v>31001</v>
      </c>
      <c r="B141" s="1">
        <v>2024</v>
      </c>
      <c r="C141" s="1">
        <v>7537</v>
      </c>
      <c r="D141" s="1">
        <v>0</v>
      </c>
      <c r="E141" s="1">
        <v>0</v>
      </c>
      <c r="F141" s="1">
        <v>0</v>
      </c>
      <c r="G141" s="1">
        <v>0</v>
      </c>
      <c r="H141" s="1">
        <v>11</v>
      </c>
      <c r="I141" s="1">
        <v>18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61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946</v>
      </c>
      <c r="V141" s="1">
        <v>21</v>
      </c>
      <c r="W141" s="1">
        <v>625</v>
      </c>
      <c r="X141" s="1">
        <v>92</v>
      </c>
      <c r="Y141" s="1">
        <v>12</v>
      </c>
      <c r="Z141" s="1">
        <v>0</v>
      </c>
      <c r="AA141" s="1">
        <v>0</v>
      </c>
      <c r="AB141" s="1">
        <v>0</v>
      </c>
      <c r="AC141" s="1">
        <v>92</v>
      </c>
      <c r="AD141" s="1">
        <v>0</v>
      </c>
      <c r="AE141" s="1">
        <v>259</v>
      </c>
      <c r="AF141" s="1">
        <v>9</v>
      </c>
      <c r="AG141" s="1">
        <v>643</v>
      </c>
      <c r="AH141" s="1">
        <v>0</v>
      </c>
      <c r="AI141" s="1">
        <v>110</v>
      </c>
      <c r="AJ141" s="1">
        <v>24</v>
      </c>
      <c r="AK141" s="1">
        <v>0</v>
      </c>
      <c r="AL141" s="1">
        <v>0</v>
      </c>
      <c r="AM141" s="1">
        <v>7</v>
      </c>
      <c r="AN141" s="1">
        <v>0</v>
      </c>
      <c r="AO141" s="1">
        <v>668</v>
      </c>
      <c r="AP141" s="1">
        <v>0</v>
      </c>
      <c r="AQ141" s="1">
        <v>754</v>
      </c>
      <c r="AR141" s="1">
        <v>0</v>
      </c>
      <c r="AS141" s="1">
        <v>1633</v>
      </c>
      <c r="AT141" s="1">
        <v>0</v>
      </c>
      <c r="AU141" s="1">
        <v>1070</v>
      </c>
      <c r="AV141" s="1">
        <v>0</v>
      </c>
      <c r="AW141" s="1">
        <v>153</v>
      </c>
      <c r="AX141" s="1">
        <v>0</v>
      </c>
      <c r="AY141" s="1">
        <v>329</v>
      </c>
      <c r="AZ141" s="1">
        <v>0</v>
      </c>
      <c r="BA141" s="1">
        <v>0</v>
      </c>
    </row>
    <row r="142" spans="1:103">
      <c r="A142" s="19">
        <v>31003</v>
      </c>
      <c r="B142" s="1">
        <v>2024</v>
      </c>
      <c r="C142" s="1">
        <v>6644</v>
      </c>
      <c r="D142" s="1">
        <v>0</v>
      </c>
      <c r="E142" s="1">
        <v>0</v>
      </c>
      <c r="F142" s="1">
        <v>0</v>
      </c>
      <c r="G142" s="1">
        <v>0</v>
      </c>
      <c r="H142" s="1">
        <v>34</v>
      </c>
      <c r="I142" s="1">
        <v>376</v>
      </c>
      <c r="J142" s="1">
        <v>204</v>
      </c>
      <c r="K142" s="1">
        <v>79</v>
      </c>
      <c r="L142" s="1">
        <v>0</v>
      </c>
      <c r="M142" s="1">
        <v>0</v>
      </c>
      <c r="N142" s="1">
        <v>0</v>
      </c>
      <c r="O142" s="1">
        <v>239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242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694</v>
      </c>
      <c r="AF142" s="1">
        <v>99</v>
      </c>
      <c r="AG142" s="1">
        <v>606</v>
      </c>
      <c r="AH142" s="1">
        <v>0</v>
      </c>
      <c r="AI142" s="1">
        <v>112</v>
      </c>
      <c r="AJ142" s="1">
        <v>0</v>
      </c>
      <c r="AK142" s="1">
        <v>246</v>
      </c>
      <c r="AL142" s="1">
        <v>0</v>
      </c>
      <c r="AM142" s="1">
        <v>663</v>
      </c>
      <c r="AN142" s="1">
        <v>0</v>
      </c>
      <c r="AO142" s="1">
        <v>833</v>
      </c>
      <c r="AP142" s="1">
        <v>0</v>
      </c>
      <c r="AQ142" s="1">
        <v>74</v>
      </c>
      <c r="AR142" s="1">
        <v>0</v>
      </c>
      <c r="AS142" s="1">
        <v>69</v>
      </c>
      <c r="AT142" s="1">
        <v>0</v>
      </c>
      <c r="AU142" s="1">
        <v>965</v>
      </c>
      <c r="AV142" s="1">
        <v>0</v>
      </c>
      <c r="AW142" s="1">
        <v>322</v>
      </c>
      <c r="AX142" s="1">
        <v>0</v>
      </c>
      <c r="AY142" s="1">
        <v>786</v>
      </c>
      <c r="AZ142" s="1">
        <v>0</v>
      </c>
      <c r="BA142" s="1">
        <v>1</v>
      </c>
    </row>
    <row r="143" spans="1:103">
      <c r="A143" s="19">
        <v>31004</v>
      </c>
      <c r="B143" s="1">
        <v>2024</v>
      </c>
      <c r="C143" s="1">
        <v>19710</v>
      </c>
      <c r="D143" s="1">
        <v>0</v>
      </c>
      <c r="E143" s="1">
        <v>601</v>
      </c>
      <c r="F143" s="1">
        <v>10</v>
      </c>
      <c r="G143" s="1">
        <v>91</v>
      </c>
      <c r="H143" s="1">
        <v>273</v>
      </c>
      <c r="I143" s="1">
        <v>1422</v>
      </c>
      <c r="J143" s="1">
        <v>514</v>
      </c>
      <c r="K143" s="1">
        <v>564</v>
      </c>
      <c r="L143" s="1">
        <v>0</v>
      </c>
      <c r="M143" s="1">
        <v>230</v>
      </c>
      <c r="N143" s="1">
        <v>17</v>
      </c>
      <c r="O143" s="1">
        <v>0</v>
      </c>
      <c r="P143" s="1">
        <v>14</v>
      </c>
      <c r="Q143" s="1">
        <v>767</v>
      </c>
      <c r="R143" s="1">
        <v>15</v>
      </c>
      <c r="S143" s="1">
        <v>280</v>
      </c>
      <c r="T143" s="1">
        <v>0</v>
      </c>
      <c r="U143" s="1">
        <v>107</v>
      </c>
      <c r="V143" s="1">
        <v>16</v>
      </c>
      <c r="W143" s="1">
        <v>984</v>
      </c>
      <c r="X143" s="1">
        <v>0</v>
      </c>
      <c r="Y143" s="1">
        <v>1365</v>
      </c>
      <c r="Z143" s="1">
        <v>93</v>
      </c>
      <c r="AA143" s="1">
        <v>363</v>
      </c>
      <c r="AB143" s="1">
        <v>0</v>
      </c>
      <c r="AC143" s="1">
        <v>0</v>
      </c>
      <c r="AD143" s="1">
        <v>0</v>
      </c>
      <c r="AE143" s="1">
        <v>368</v>
      </c>
      <c r="AF143" s="1">
        <v>41</v>
      </c>
      <c r="AG143" s="1">
        <v>1032</v>
      </c>
      <c r="AH143" s="1">
        <v>0</v>
      </c>
      <c r="AI143" s="1">
        <v>246</v>
      </c>
      <c r="AJ143" s="1">
        <v>292</v>
      </c>
      <c r="AK143" s="1">
        <v>1024</v>
      </c>
      <c r="AL143" s="1">
        <v>0</v>
      </c>
      <c r="AM143" s="1">
        <v>500</v>
      </c>
      <c r="AN143" s="1">
        <v>0</v>
      </c>
      <c r="AO143" s="1">
        <v>1183</v>
      </c>
      <c r="AP143" s="1">
        <v>0</v>
      </c>
      <c r="AQ143" s="1">
        <v>98</v>
      </c>
      <c r="AR143" s="1">
        <v>0</v>
      </c>
      <c r="AS143" s="1">
        <v>896</v>
      </c>
      <c r="AT143" s="1">
        <v>0</v>
      </c>
      <c r="AU143" s="1">
        <v>3093</v>
      </c>
      <c r="AV143" s="1">
        <v>0</v>
      </c>
      <c r="AW143" s="1">
        <v>649</v>
      </c>
      <c r="AX143" s="1">
        <v>0</v>
      </c>
      <c r="AY143" s="1">
        <v>1778</v>
      </c>
      <c r="AZ143" s="1">
        <v>0</v>
      </c>
      <c r="BA143" s="1">
        <v>784</v>
      </c>
    </row>
    <row r="144" spans="1:103">
      <c r="A144" s="19">
        <v>31005</v>
      </c>
      <c r="B144" s="1">
        <v>2024</v>
      </c>
      <c r="C144" s="1">
        <v>23156</v>
      </c>
      <c r="D144" s="1">
        <v>0</v>
      </c>
      <c r="E144" s="1">
        <v>0</v>
      </c>
      <c r="F144" s="1">
        <v>337</v>
      </c>
      <c r="G144" s="1">
        <v>32</v>
      </c>
      <c r="H144" s="1">
        <v>2157</v>
      </c>
      <c r="I144" s="1">
        <v>1098</v>
      </c>
      <c r="J144" s="1">
        <v>1109</v>
      </c>
      <c r="K144" s="1">
        <v>45</v>
      </c>
      <c r="L144" s="1">
        <v>0</v>
      </c>
      <c r="M144" s="1">
        <v>9</v>
      </c>
      <c r="N144" s="1">
        <v>0</v>
      </c>
      <c r="O144" s="1">
        <v>701</v>
      </c>
      <c r="P144" s="1">
        <v>0</v>
      </c>
      <c r="Q144" s="1">
        <v>125</v>
      </c>
      <c r="R144" s="1">
        <v>0</v>
      </c>
      <c r="S144" s="1">
        <v>349</v>
      </c>
      <c r="T144" s="1">
        <v>0</v>
      </c>
      <c r="U144" s="1">
        <v>475</v>
      </c>
      <c r="V144" s="1">
        <v>0</v>
      </c>
      <c r="W144" s="1">
        <v>1444</v>
      </c>
      <c r="X144" s="1">
        <v>0</v>
      </c>
      <c r="Y144" s="1">
        <v>472</v>
      </c>
      <c r="Z144" s="1">
        <v>90</v>
      </c>
      <c r="AA144" s="1">
        <v>18</v>
      </c>
      <c r="AB144" s="1">
        <v>0</v>
      </c>
      <c r="AC144" s="1">
        <v>122</v>
      </c>
      <c r="AD144" s="1">
        <v>0</v>
      </c>
      <c r="AE144" s="1">
        <v>2419</v>
      </c>
      <c r="AF144" s="1">
        <v>0</v>
      </c>
      <c r="AG144" s="1">
        <v>424</v>
      </c>
      <c r="AH144" s="1">
        <v>0</v>
      </c>
      <c r="AI144" s="1">
        <v>305</v>
      </c>
      <c r="AJ144" s="1">
        <v>0</v>
      </c>
      <c r="AK144" s="1">
        <v>398</v>
      </c>
      <c r="AL144" s="1">
        <v>0</v>
      </c>
      <c r="AM144" s="1">
        <v>958</v>
      </c>
      <c r="AN144" s="1">
        <v>0</v>
      </c>
      <c r="AO144" s="1">
        <v>1069</v>
      </c>
      <c r="AP144" s="1">
        <v>0</v>
      </c>
      <c r="AQ144" s="1">
        <v>721</v>
      </c>
      <c r="AR144" s="1">
        <v>0</v>
      </c>
      <c r="AS144" s="1">
        <v>2520</v>
      </c>
      <c r="AT144" s="1">
        <v>0</v>
      </c>
      <c r="AU144" s="1">
        <v>3557</v>
      </c>
      <c r="AV144" s="1">
        <v>0</v>
      </c>
      <c r="AW144" s="1">
        <v>445</v>
      </c>
      <c r="AX144" s="1">
        <v>0</v>
      </c>
      <c r="AY144" s="1">
        <v>1331</v>
      </c>
      <c r="AZ144" s="1">
        <v>0</v>
      </c>
      <c r="BA144" s="1">
        <v>426</v>
      </c>
    </row>
    <row r="145" spans="1:53">
      <c r="A145" s="19">
        <v>32001</v>
      </c>
      <c r="B145" s="1">
        <v>2024</v>
      </c>
      <c r="C145" s="1">
        <v>10545</v>
      </c>
      <c r="D145" s="1">
        <v>0</v>
      </c>
      <c r="E145" s="1">
        <v>0</v>
      </c>
      <c r="F145" s="1">
        <v>62</v>
      </c>
      <c r="G145" s="1">
        <v>154</v>
      </c>
      <c r="H145" s="1">
        <v>984</v>
      </c>
      <c r="I145" s="1">
        <v>539</v>
      </c>
      <c r="J145" s="1">
        <v>102</v>
      </c>
      <c r="K145" s="1">
        <v>106</v>
      </c>
      <c r="L145" s="1">
        <v>0</v>
      </c>
      <c r="M145" s="1">
        <v>0</v>
      </c>
      <c r="N145" s="1">
        <v>0</v>
      </c>
      <c r="O145" s="1">
        <v>239</v>
      </c>
      <c r="P145" s="1">
        <v>0</v>
      </c>
      <c r="Q145" s="1">
        <v>277</v>
      </c>
      <c r="R145" s="1">
        <v>0</v>
      </c>
      <c r="S145" s="1">
        <v>198</v>
      </c>
      <c r="T145" s="1">
        <v>0</v>
      </c>
      <c r="U145" s="1">
        <v>158</v>
      </c>
      <c r="V145" s="1">
        <v>0</v>
      </c>
      <c r="W145" s="1">
        <v>230</v>
      </c>
      <c r="X145" s="1">
        <v>46</v>
      </c>
      <c r="Y145" s="1">
        <v>0</v>
      </c>
      <c r="Z145" s="1">
        <v>0</v>
      </c>
      <c r="AA145" s="1">
        <v>61</v>
      </c>
      <c r="AB145" s="1">
        <v>31</v>
      </c>
      <c r="AC145" s="1">
        <v>30</v>
      </c>
      <c r="AD145" s="1">
        <v>229</v>
      </c>
      <c r="AE145" s="1">
        <v>892</v>
      </c>
      <c r="AF145" s="1">
        <v>0</v>
      </c>
      <c r="AG145" s="1">
        <v>261</v>
      </c>
      <c r="AH145" s="1">
        <v>0</v>
      </c>
      <c r="AI145" s="1">
        <v>223</v>
      </c>
      <c r="AJ145" s="1">
        <v>71</v>
      </c>
      <c r="AK145" s="1">
        <v>245</v>
      </c>
      <c r="AL145" s="1">
        <v>0</v>
      </c>
      <c r="AM145" s="1">
        <v>289</v>
      </c>
      <c r="AN145" s="1">
        <v>0</v>
      </c>
      <c r="AO145" s="1">
        <v>312</v>
      </c>
      <c r="AP145" s="1">
        <v>0</v>
      </c>
      <c r="AQ145" s="1">
        <v>1109</v>
      </c>
      <c r="AR145" s="1">
        <v>0</v>
      </c>
      <c r="AS145" s="1">
        <v>1251</v>
      </c>
      <c r="AT145" s="1">
        <v>0</v>
      </c>
      <c r="AU145" s="1">
        <v>2281</v>
      </c>
      <c r="AV145" s="1">
        <v>0</v>
      </c>
      <c r="AW145" s="1">
        <v>43</v>
      </c>
      <c r="AX145" s="1">
        <v>0</v>
      </c>
      <c r="AY145" s="1">
        <v>122</v>
      </c>
      <c r="AZ145" s="1">
        <v>0</v>
      </c>
      <c r="BA145" s="1">
        <v>0</v>
      </c>
    </row>
    <row r="146" spans="1:53">
      <c r="A146" s="19">
        <v>32003</v>
      </c>
      <c r="B146" s="1">
        <v>2024</v>
      </c>
      <c r="C146" s="1">
        <v>14116</v>
      </c>
      <c r="D146" s="1">
        <v>0</v>
      </c>
      <c r="E146" s="1">
        <v>0</v>
      </c>
      <c r="F146" s="1">
        <v>143</v>
      </c>
      <c r="G146" s="1">
        <v>58</v>
      </c>
      <c r="H146" s="1">
        <v>331</v>
      </c>
      <c r="I146" s="1">
        <v>674</v>
      </c>
      <c r="J146" s="1">
        <v>82</v>
      </c>
      <c r="K146" s="1">
        <v>46</v>
      </c>
      <c r="L146" s="1">
        <v>0</v>
      </c>
      <c r="M146" s="1">
        <v>0</v>
      </c>
      <c r="N146" s="1">
        <v>31</v>
      </c>
      <c r="O146" s="1">
        <v>397</v>
      </c>
      <c r="P146" s="1">
        <v>0</v>
      </c>
      <c r="Q146" s="1">
        <v>375</v>
      </c>
      <c r="R146" s="1">
        <v>0</v>
      </c>
      <c r="S146" s="1">
        <v>387</v>
      </c>
      <c r="T146" s="1">
        <v>0</v>
      </c>
      <c r="U146" s="1">
        <v>71</v>
      </c>
      <c r="V146" s="1">
        <v>0</v>
      </c>
      <c r="W146" s="1">
        <v>0</v>
      </c>
      <c r="X146" s="1">
        <v>0</v>
      </c>
      <c r="Y146" s="1">
        <v>442</v>
      </c>
      <c r="Z146" s="1">
        <v>0</v>
      </c>
      <c r="AA146" s="1">
        <v>0</v>
      </c>
      <c r="AB146" s="1">
        <v>0</v>
      </c>
      <c r="AC146" s="1">
        <v>85</v>
      </c>
      <c r="AD146" s="1">
        <v>0</v>
      </c>
      <c r="AE146" s="1">
        <v>188</v>
      </c>
      <c r="AF146" s="1">
        <v>0</v>
      </c>
      <c r="AG146" s="1">
        <v>805</v>
      </c>
      <c r="AH146" s="1">
        <v>0</v>
      </c>
      <c r="AI146" s="1">
        <v>214</v>
      </c>
      <c r="AJ146" s="1">
        <v>79</v>
      </c>
      <c r="AK146" s="1">
        <v>268</v>
      </c>
      <c r="AL146" s="1">
        <v>0</v>
      </c>
      <c r="AM146" s="1">
        <v>152</v>
      </c>
      <c r="AN146" s="1">
        <v>0</v>
      </c>
      <c r="AO146" s="1">
        <v>590</v>
      </c>
      <c r="AP146" s="1">
        <v>0</v>
      </c>
      <c r="AQ146" s="1">
        <v>1191</v>
      </c>
      <c r="AR146" s="1">
        <v>0</v>
      </c>
      <c r="AS146" s="1">
        <v>1125</v>
      </c>
      <c r="AT146" s="1">
        <v>0</v>
      </c>
      <c r="AU146" s="1">
        <v>3978</v>
      </c>
      <c r="AV146" s="1">
        <v>0</v>
      </c>
      <c r="AW146" s="1">
        <v>718</v>
      </c>
      <c r="AX146" s="1">
        <v>0</v>
      </c>
      <c r="AY146" s="1">
        <v>1574</v>
      </c>
      <c r="AZ146" s="1">
        <v>0</v>
      </c>
      <c r="BA146" s="1">
        <v>112</v>
      </c>
    </row>
    <row r="147" spans="1:53">
      <c r="A147" s="19">
        <v>33001</v>
      </c>
      <c r="B147" s="1">
        <v>2024</v>
      </c>
      <c r="C147" s="1">
        <v>18463</v>
      </c>
      <c r="D147" s="1">
        <v>0</v>
      </c>
      <c r="E147" s="1">
        <v>0</v>
      </c>
      <c r="F147" s="1">
        <v>8</v>
      </c>
      <c r="G147" s="1">
        <v>0</v>
      </c>
      <c r="H147" s="1">
        <v>7</v>
      </c>
      <c r="I147" s="1">
        <v>1970</v>
      </c>
      <c r="J147" s="1">
        <v>76</v>
      </c>
      <c r="K147" s="1">
        <v>33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13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463</v>
      </c>
      <c r="X147" s="1">
        <v>0</v>
      </c>
      <c r="Y147" s="1">
        <v>1324</v>
      </c>
      <c r="Z147" s="1">
        <v>0</v>
      </c>
      <c r="AA147" s="1">
        <v>404</v>
      </c>
      <c r="AB147" s="1">
        <v>0</v>
      </c>
      <c r="AC147" s="1">
        <v>0</v>
      </c>
      <c r="AD147" s="1">
        <v>0</v>
      </c>
      <c r="AE147" s="1">
        <v>427</v>
      </c>
      <c r="AF147" s="1">
        <v>0</v>
      </c>
      <c r="AG147" s="1">
        <v>894</v>
      </c>
      <c r="AH147" s="1">
        <v>0</v>
      </c>
      <c r="AI147" s="1">
        <v>529</v>
      </c>
      <c r="AJ147" s="1">
        <v>0</v>
      </c>
      <c r="AK147" s="1">
        <v>728</v>
      </c>
      <c r="AL147" s="1">
        <v>0</v>
      </c>
      <c r="AM147" s="1">
        <v>1115</v>
      </c>
      <c r="AN147" s="1">
        <v>0</v>
      </c>
      <c r="AO147" s="1">
        <v>840</v>
      </c>
      <c r="AP147" s="1">
        <v>0</v>
      </c>
      <c r="AQ147" s="1">
        <v>253</v>
      </c>
      <c r="AR147" s="1">
        <v>0</v>
      </c>
      <c r="AS147" s="1">
        <v>2402</v>
      </c>
      <c r="AT147" s="1">
        <v>0</v>
      </c>
      <c r="AU147" s="1">
        <v>4633</v>
      </c>
      <c r="AV147" s="1">
        <v>0</v>
      </c>
      <c r="AW147" s="1">
        <v>491</v>
      </c>
      <c r="AX147" s="1">
        <v>0</v>
      </c>
      <c r="AY147" s="1">
        <v>1853</v>
      </c>
      <c r="AZ147" s="1">
        <v>0</v>
      </c>
      <c r="BA147" s="1">
        <v>0</v>
      </c>
    </row>
    <row r="148" spans="1:53">
      <c r="A148" s="19">
        <v>34001</v>
      </c>
      <c r="B148" s="1">
        <v>2024</v>
      </c>
      <c r="C148" s="1">
        <v>72764</v>
      </c>
      <c r="D148" s="1">
        <v>0</v>
      </c>
      <c r="E148" s="1">
        <v>0</v>
      </c>
      <c r="F148" s="1">
        <v>256</v>
      </c>
      <c r="G148" s="1">
        <v>259</v>
      </c>
      <c r="H148" s="1">
        <v>2673</v>
      </c>
      <c r="I148" s="1">
        <v>1446</v>
      </c>
      <c r="J148" s="1">
        <v>2319</v>
      </c>
      <c r="K148" s="1">
        <v>1079</v>
      </c>
      <c r="L148" s="1">
        <v>91</v>
      </c>
      <c r="M148" s="1">
        <v>361</v>
      </c>
      <c r="N148" s="1">
        <v>0</v>
      </c>
      <c r="O148" s="1">
        <v>553</v>
      </c>
      <c r="P148" s="1">
        <v>0</v>
      </c>
      <c r="Q148" s="1">
        <v>177</v>
      </c>
      <c r="R148" s="1">
        <v>0</v>
      </c>
      <c r="S148" s="1">
        <v>675</v>
      </c>
      <c r="T148" s="1">
        <v>0</v>
      </c>
      <c r="U148" s="1">
        <v>1096</v>
      </c>
      <c r="V148" s="1">
        <v>0</v>
      </c>
      <c r="W148" s="1">
        <v>3693</v>
      </c>
      <c r="X148" s="1">
        <v>31</v>
      </c>
      <c r="Y148" s="1">
        <v>2219</v>
      </c>
      <c r="Z148" s="1">
        <v>3</v>
      </c>
      <c r="AA148" s="1">
        <v>1939</v>
      </c>
      <c r="AB148" s="1">
        <v>0</v>
      </c>
      <c r="AC148" s="1">
        <v>588</v>
      </c>
      <c r="AD148" s="1">
        <v>46</v>
      </c>
      <c r="AE148" s="1">
        <v>2362</v>
      </c>
      <c r="AF148" s="1">
        <v>80</v>
      </c>
      <c r="AG148" s="1">
        <v>1692</v>
      </c>
      <c r="AH148" s="1">
        <v>6</v>
      </c>
      <c r="AI148" s="1">
        <v>924</v>
      </c>
      <c r="AJ148" s="1">
        <v>49</v>
      </c>
      <c r="AK148" s="1">
        <v>1847</v>
      </c>
      <c r="AL148" s="1">
        <v>0</v>
      </c>
      <c r="AM148" s="1">
        <v>4928</v>
      </c>
      <c r="AN148" s="1">
        <v>0</v>
      </c>
      <c r="AO148" s="1">
        <v>5570</v>
      </c>
      <c r="AP148" s="1">
        <v>0</v>
      </c>
      <c r="AQ148" s="1">
        <v>3838</v>
      </c>
      <c r="AR148" s="1">
        <v>0</v>
      </c>
      <c r="AS148" s="1">
        <v>7492</v>
      </c>
      <c r="AT148" s="1">
        <v>0</v>
      </c>
      <c r="AU148" s="1">
        <v>7188</v>
      </c>
      <c r="AV148" s="1">
        <v>0</v>
      </c>
      <c r="AW148" s="1">
        <v>6144</v>
      </c>
      <c r="AX148" s="1">
        <v>0</v>
      </c>
      <c r="AY148" s="1">
        <v>11140</v>
      </c>
      <c r="AZ148" s="1">
        <v>0</v>
      </c>
      <c r="BA148" s="1">
        <v>0</v>
      </c>
    </row>
    <row r="149" spans="1:53">
      <c r="A149" s="19">
        <v>34003</v>
      </c>
      <c r="B149" s="1">
        <v>2024</v>
      </c>
      <c r="C149" s="1">
        <v>13085</v>
      </c>
      <c r="D149" s="1">
        <v>0</v>
      </c>
      <c r="E149" s="1">
        <v>0</v>
      </c>
      <c r="F149" s="1">
        <v>0</v>
      </c>
      <c r="G149" s="1">
        <v>17</v>
      </c>
      <c r="H149" s="1">
        <v>117</v>
      </c>
      <c r="I149" s="1">
        <v>0</v>
      </c>
      <c r="J149" s="1">
        <v>22</v>
      </c>
      <c r="K149" s="1">
        <v>0</v>
      </c>
      <c r="L149" s="1">
        <v>0</v>
      </c>
      <c r="M149" s="1">
        <v>453</v>
      </c>
      <c r="N149" s="1">
        <v>4</v>
      </c>
      <c r="O149" s="1">
        <v>1192</v>
      </c>
      <c r="P149" s="1">
        <v>87</v>
      </c>
      <c r="Q149" s="1">
        <v>177</v>
      </c>
      <c r="R149" s="1">
        <v>0</v>
      </c>
      <c r="S149" s="1">
        <v>454</v>
      </c>
      <c r="T149" s="1">
        <v>0</v>
      </c>
      <c r="U149" s="1">
        <v>733</v>
      </c>
      <c r="V149" s="1">
        <v>0</v>
      </c>
      <c r="W149" s="1">
        <v>571</v>
      </c>
      <c r="X149" s="1">
        <v>0</v>
      </c>
      <c r="Y149" s="1">
        <v>94</v>
      </c>
      <c r="Z149" s="1">
        <v>0</v>
      </c>
      <c r="AA149" s="1">
        <v>81</v>
      </c>
      <c r="AB149" s="1">
        <v>0</v>
      </c>
      <c r="AC149" s="1">
        <v>111</v>
      </c>
      <c r="AD149" s="1">
        <v>0</v>
      </c>
      <c r="AE149" s="1">
        <v>755</v>
      </c>
      <c r="AF149" s="1">
        <v>0</v>
      </c>
      <c r="AG149" s="1">
        <v>98</v>
      </c>
      <c r="AH149" s="1">
        <v>0</v>
      </c>
      <c r="AI149" s="1">
        <v>163</v>
      </c>
      <c r="AJ149" s="1">
        <v>4</v>
      </c>
      <c r="AK149" s="1">
        <v>1150</v>
      </c>
      <c r="AL149" s="1">
        <v>0</v>
      </c>
      <c r="AM149" s="1">
        <v>538</v>
      </c>
      <c r="AN149" s="1">
        <v>0</v>
      </c>
      <c r="AO149" s="1">
        <v>1474</v>
      </c>
      <c r="AP149" s="1">
        <v>0</v>
      </c>
      <c r="AQ149" s="1">
        <v>670</v>
      </c>
      <c r="AR149" s="1">
        <v>0</v>
      </c>
      <c r="AS149" s="1">
        <v>2299</v>
      </c>
      <c r="AT149" s="1">
        <v>0</v>
      </c>
      <c r="AU149" s="1">
        <v>620</v>
      </c>
      <c r="AV149" s="1">
        <v>0</v>
      </c>
      <c r="AW149" s="1">
        <v>201</v>
      </c>
      <c r="AX149" s="1">
        <v>0</v>
      </c>
      <c r="AY149" s="1">
        <v>1000</v>
      </c>
      <c r="AZ149" s="1">
        <v>0</v>
      </c>
      <c r="BA149" s="1">
        <v>0</v>
      </c>
    </row>
    <row r="150" spans="1:53">
      <c r="A150" s="19">
        <v>34004</v>
      </c>
      <c r="B150" s="1">
        <v>2024</v>
      </c>
      <c r="C150" s="1">
        <v>21755</v>
      </c>
      <c r="D150" s="1">
        <v>0</v>
      </c>
      <c r="E150" s="1">
        <v>92</v>
      </c>
      <c r="F150" s="1">
        <v>99</v>
      </c>
      <c r="G150" s="1">
        <v>199</v>
      </c>
      <c r="H150" s="1">
        <v>1861</v>
      </c>
      <c r="I150" s="1">
        <v>868</v>
      </c>
      <c r="J150" s="1">
        <v>1818</v>
      </c>
      <c r="K150" s="1">
        <v>581</v>
      </c>
      <c r="L150" s="1">
        <v>88</v>
      </c>
      <c r="M150" s="1">
        <v>3</v>
      </c>
      <c r="N150" s="1">
        <v>103</v>
      </c>
      <c r="O150" s="1">
        <v>1273</v>
      </c>
      <c r="P150" s="1">
        <v>79</v>
      </c>
      <c r="Q150" s="1">
        <v>516</v>
      </c>
      <c r="R150" s="1">
        <v>0</v>
      </c>
      <c r="S150" s="1">
        <v>377</v>
      </c>
      <c r="T150" s="1">
        <v>85</v>
      </c>
      <c r="U150" s="1">
        <v>477</v>
      </c>
      <c r="V150" s="1">
        <v>60</v>
      </c>
      <c r="W150" s="1">
        <v>1476</v>
      </c>
      <c r="X150" s="1">
        <v>0</v>
      </c>
      <c r="Y150" s="1">
        <v>441</v>
      </c>
      <c r="Z150" s="1">
        <v>15</v>
      </c>
      <c r="AA150" s="1">
        <v>109</v>
      </c>
      <c r="AB150" s="1">
        <v>6</v>
      </c>
      <c r="AC150" s="1">
        <v>199</v>
      </c>
      <c r="AD150" s="1">
        <v>175</v>
      </c>
      <c r="AE150" s="1">
        <v>1051</v>
      </c>
      <c r="AF150" s="1">
        <v>0</v>
      </c>
      <c r="AG150" s="1">
        <v>242</v>
      </c>
      <c r="AH150" s="1">
        <v>0</v>
      </c>
      <c r="AI150" s="1">
        <v>210</v>
      </c>
      <c r="AJ150" s="1">
        <v>129</v>
      </c>
      <c r="AK150" s="1">
        <v>1019</v>
      </c>
      <c r="AL150" s="1">
        <v>0</v>
      </c>
      <c r="AM150" s="1">
        <v>465</v>
      </c>
      <c r="AN150" s="1">
        <v>31</v>
      </c>
      <c r="AO150" s="1">
        <v>912</v>
      </c>
      <c r="AP150" s="1">
        <v>278</v>
      </c>
      <c r="AQ150" s="1">
        <v>487</v>
      </c>
      <c r="AR150" s="1">
        <v>228</v>
      </c>
      <c r="AS150" s="1">
        <v>981</v>
      </c>
      <c r="AT150" s="1">
        <v>1071</v>
      </c>
      <c r="AU150" s="1">
        <v>1062</v>
      </c>
      <c r="AV150" s="1">
        <v>183</v>
      </c>
      <c r="AW150" s="1">
        <v>841</v>
      </c>
      <c r="AX150" s="1">
        <v>0</v>
      </c>
      <c r="AY150" s="1">
        <v>1550</v>
      </c>
      <c r="AZ150" s="1">
        <v>0</v>
      </c>
      <c r="BA150" s="1">
        <v>15</v>
      </c>
    </row>
    <row r="151" spans="1:53">
      <c r="A151" s="19">
        <v>35001</v>
      </c>
      <c r="B151" s="1">
        <v>2024</v>
      </c>
      <c r="C151" s="1">
        <v>13623</v>
      </c>
      <c r="D151" s="1">
        <v>0</v>
      </c>
      <c r="E151" s="1">
        <v>0</v>
      </c>
      <c r="F151" s="1">
        <v>0</v>
      </c>
      <c r="G151" s="1">
        <v>0</v>
      </c>
      <c r="H151" s="1">
        <v>57</v>
      </c>
      <c r="I151" s="1">
        <v>123</v>
      </c>
      <c r="J151" s="1">
        <v>209</v>
      </c>
      <c r="K151" s="1">
        <v>19</v>
      </c>
      <c r="L151" s="1">
        <v>0</v>
      </c>
      <c r="M151" s="1">
        <v>0</v>
      </c>
      <c r="N151" s="1">
        <v>0</v>
      </c>
      <c r="O151" s="1">
        <v>120</v>
      </c>
      <c r="P151" s="1">
        <v>0</v>
      </c>
      <c r="Q151" s="1">
        <v>2</v>
      </c>
      <c r="R151" s="1">
        <v>0</v>
      </c>
      <c r="S151" s="1">
        <v>162</v>
      </c>
      <c r="T151" s="1">
        <v>0</v>
      </c>
      <c r="U151" s="1">
        <v>182</v>
      </c>
      <c r="V151" s="1">
        <v>0</v>
      </c>
      <c r="W151" s="1">
        <v>414</v>
      </c>
      <c r="X151" s="1">
        <v>0</v>
      </c>
      <c r="Y151" s="1">
        <v>678</v>
      </c>
      <c r="Z151" s="1">
        <v>0</v>
      </c>
      <c r="AA151" s="1">
        <v>224</v>
      </c>
      <c r="AB151" s="1">
        <v>0</v>
      </c>
      <c r="AC151" s="1">
        <v>0</v>
      </c>
      <c r="AD151" s="1">
        <v>0</v>
      </c>
      <c r="AE151" s="1">
        <v>613</v>
      </c>
      <c r="AF151" s="1">
        <v>0</v>
      </c>
      <c r="AG151" s="1">
        <v>92</v>
      </c>
      <c r="AH151" s="1">
        <v>0</v>
      </c>
      <c r="AI151" s="1">
        <v>151</v>
      </c>
      <c r="AJ151" s="1">
        <v>0</v>
      </c>
      <c r="AK151" s="1">
        <v>65</v>
      </c>
      <c r="AL151" s="1">
        <v>0</v>
      </c>
      <c r="AM151" s="1">
        <v>1173</v>
      </c>
      <c r="AN151" s="1">
        <v>0</v>
      </c>
      <c r="AO151" s="1">
        <v>1635</v>
      </c>
      <c r="AP151" s="1">
        <v>0</v>
      </c>
      <c r="AQ151" s="1">
        <v>725</v>
      </c>
      <c r="AR151" s="1">
        <v>0</v>
      </c>
      <c r="AS151" s="1">
        <v>338</v>
      </c>
      <c r="AT151" s="1">
        <v>0</v>
      </c>
      <c r="AU151" s="1">
        <v>1480</v>
      </c>
      <c r="AV151" s="1">
        <v>31</v>
      </c>
      <c r="AW151" s="1">
        <v>1174</v>
      </c>
      <c r="AX151" s="1">
        <v>0</v>
      </c>
      <c r="AY151" s="1">
        <v>3956</v>
      </c>
      <c r="AZ151" s="1">
        <v>0</v>
      </c>
      <c r="BA151" s="1">
        <v>0</v>
      </c>
    </row>
    <row r="152" spans="1:53">
      <c r="A152" s="19">
        <v>35002</v>
      </c>
      <c r="B152" s="1">
        <v>2024</v>
      </c>
      <c r="C152" s="1">
        <v>10457</v>
      </c>
      <c r="D152" s="1">
        <v>0</v>
      </c>
      <c r="E152" s="1">
        <v>0</v>
      </c>
      <c r="F152" s="1">
        <v>0</v>
      </c>
      <c r="G152" s="1">
        <v>0</v>
      </c>
      <c r="H152" s="1">
        <v>271</v>
      </c>
      <c r="I152" s="1">
        <v>123</v>
      </c>
      <c r="J152" s="1">
        <v>30</v>
      </c>
      <c r="K152" s="1">
        <v>0</v>
      </c>
      <c r="L152" s="1">
        <v>0</v>
      </c>
      <c r="M152" s="1">
        <v>0</v>
      </c>
      <c r="N152" s="1">
        <v>0</v>
      </c>
      <c r="O152" s="1">
        <v>825</v>
      </c>
      <c r="P152" s="1">
        <v>0</v>
      </c>
      <c r="Q152" s="1">
        <v>166</v>
      </c>
      <c r="R152" s="1">
        <v>0</v>
      </c>
      <c r="S152" s="1">
        <v>106</v>
      </c>
      <c r="T152" s="1">
        <v>0</v>
      </c>
      <c r="U152" s="1">
        <v>212</v>
      </c>
      <c r="V152" s="1">
        <v>0</v>
      </c>
      <c r="W152" s="1">
        <v>647</v>
      </c>
      <c r="X152" s="1">
        <v>0</v>
      </c>
      <c r="Y152" s="1">
        <v>103</v>
      </c>
      <c r="Z152" s="1">
        <v>0</v>
      </c>
      <c r="AA152" s="1">
        <v>110</v>
      </c>
      <c r="AB152" s="1">
        <v>0</v>
      </c>
      <c r="AC152" s="1">
        <v>475</v>
      </c>
      <c r="AD152" s="1">
        <v>0</v>
      </c>
      <c r="AE152" s="1">
        <v>191</v>
      </c>
      <c r="AF152" s="1">
        <v>0</v>
      </c>
      <c r="AG152" s="1">
        <v>878</v>
      </c>
      <c r="AH152" s="1">
        <v>0</v>
      </c>
      <c r="AI152" s="1">
        <v>0</v>
      </c>
      <c r="AJ152" s="1">
        <v>0</v>
      </c>
      <c r="AK152" s="1">
        <v>146</v>
      </c>
      <c r="AL152" s="1">
        <v>0</v>
      </c>
      <c r="AM152" s="1">
        <v>941</v>
      </c>
      <c r="AN152" s="1">
        <v>0</v>
      </c>
      <c r="AO152" s="1">
        <v>679</v>
      </c>
      <c r="AP152" s="1">
        <v>0</v>
      </c>
      <c r="AQ152" s="1">
        <v>199</v>
      </c>
      <c r="AR152" s="1">
        <v>0</v>
      </c>
      <c r="AS152" s="1">
        <v>1906</v>
      </c>
      <c r="AT152" s="1">
        <v>0</v>
      </c>
      <c r="AU152" s="1">
        <v>1003</v>
      </c>
      <c r="AV152" s="1">
        <v>0</v>
      </c>
      <c r="AW152" s="1">
        <v>980</v>
      </c>
      <c r="AX152" s="1">
        <v>0</v>
      </c>
      <c r="AY152" s="1">
        <v>466</v>
      </c>
      <c r="AZ152" s="1">
        <v>0</v>
      </c>
      <c r="BA152" s="1">
        <v>0</v>
      </c>
    </row>
    <row r="153" spans="1:53">
      <c r="A153" s="19">
        <v>36002</v>
      </c>
      <c r="B153" s="1">
        <v>2024</v>
      </c>
      <c r="C153" s="1">
        <v>18172</v>
      </c>
      <c r="D153" s="1">
        <v>0</v>
      </c>
      <c r="E153" s="1">
        <v>0</v>
      </c>
      <c r="F153" s="1">
        <v>0</v>
      </c>
      <c r="G153" s="1">
        <v>33</v>
      </c>
      <c r="H153" s="1">
        <v>120</v>
      </c>
      <c r="I153" s="1">
        <v>292</v>
      </c>
      <c r="J153" s="1">
        <v>348</v>
      </c>
      <c r="K153" s="1">
        <v>283</v>
      </c>
      <c r="L153" s="1">
        <v>0</v>
      </c>
      <c r="M153" s="1">
        <v>0</v>
      </c>
      <c r="N153" s="1">
        <v>123</v>
      </c>
      <c r="O153" s="1">
        <v>147</v>
      </c>
      <c r="P153" s="1">
        <v>22</v>
      </c>
      <c r="Q153" s="1">
        <v>89</v>
      </c>
      <c r="R153" s="1">
        <v>0</v>
      </c>
      <c r="S153" s="1">
        <v>37</v>
      </c>
      <c r="T153" s="1">
        <v>0</v>
      </c>
      <c r="U153" s="1">
        <v>119</v>
      </c>
      <c r="V153" s="1">
        <v>60</v>
      </c>
      <c r="W153" s="1">
        <v>532</v>
      </c>
      <c r="X153" s="1">
        <v>77</v>
      </c>
      <c r="Y153" s="1">
        <v>245</v>
      </c>
      <c r="Z153" s="1">
        <v>133</v>
      </c>
      <c r="AA153" s="1">
        <v>212</v>
      </c>
      <c r="AB153" s="1">
        <v>0</v>
      </c>
      <c r="AC153" s="1">
        <v>30</v>
      </c>
      <c r="AD153" s="1">
        <v>0</v>
      </c>
      <c r="AE153" s="1">
        <v>329</v>
      </c>
      <c r="AF153" s="1">
        <v>0</v>
      </c>
      <c r="AG153" s="1">
        <v>491</v>
      </c>
      <c r="AH153" s="1">
        <v>0</v>
      </c>
      <c r="AI153" s="1">
        <v>419</v>
      </c>
      <c r="AJ153" s="1">
        <v>0</v>
      </c>
      <c r="AK153" s="1">
        <v>161</v>
      </c>
      <c r="AL153" s="1">
        <v>0</v>
      </c>
      <c r="AM153" s="1">
        <v>1427</v>
      </c>
      <c r="AN153" s="1">
        <v>91</v>
      </c>
      <c r="AO153" s="1">
        <v>2708</v>
      </c>
      <c r="AP153" s="1">
        <v>0</v>
      </c>
      <c r="AQ153" s="1">
        <v>612</v>
      </c>
      <c r="AR153" s="1">
        <v>0</v>
      </c>
      <c r="AS153" s="1">
        <v>1253</v>
      </c>
      <c r="AT153" s="1">
        <v>0</v>
      </c>
      <c r="AU153" s="1">
        <v>1581</v>
      </c>
      <c r="AV153" s="1">
        <v>0</v>
      </c>
      <c r="AW153" s="1">
        <v>1059</v>
      </c>
      <c r="AX153" s="1">
        <v>91</v>
      </c>
      <c r="AY153" s="1">
        <v>5026</v>
      </c>
      <c r="AZ153" s="1">
        <v>0</v>
      </c>
      <c r="BA153" s="1">
        <v>22</v>
      </c>
    </row>
    <row r="154" spans="1:53">
      <c r="A154" s="19">
        <v>36003</v>
      </c>
      <c r="B154" s="1">
        <v>2024</v>
      </c>
      <c r="C154" s="1">
        <v>12712</v>
      </c>
      <c r="D154" s="1">
        <v>0</v>
      </c>
      <c r="E154" s="1">
        <v>0</v>
      </c>
      <c r="F154" s="1">
        <v>11</v>
      </c>
      <c r="G154" s="1">
        <v>0</v>
      </c>
      <c r="H154" s="1">
        <v>254</v>
      </c>
      <c r="I154" s="1">
        <v>295</v>
      </c>
      <c r="J154" s="1">
        <v>214</v>
      </c>
      <c r="K154" s="1">
        <v>411</v>
      </c>
      <c r="L154" s="1">
        <v>0</v>
      </c>
      <c r="M154" s="1">
        <v>0</v>
      </c>
      <c r="N154" s="1">
        <v>0</v>
      </c>
      <c r="O154" s="1">
        <v>214</v>
      </c>
      <c r="P154" s="1">
        <v>10</v>
      </c>
      <c r="Q154" s="1">
        <v>91</v>
      </c>
      <c r="R154" s="1">
        <v>0</v>
      </c>
      <c r="S154" s="1">
        <v>0</v>
      </c>
      <c r="T154" s="1">
        <v>0</v>
      </c>
      <c r="U154" s="1">
        <v>0</v>
      </c>
      <c r="V154" s="1">
        <v>9</v>
      </c>
      <c r="W154" s="1">
        <v>335</v>
      </c>
      <c r="X154" s="1">
        <v>0</v>
      </c>
      <c r="Y154" s="1">
        <v>440</v>
      </c>
      <c r="Z154" s="1">
        <v>0</v>
      </c>
      <c r="AA154" s="1">
        <v>67</v>
      </c>
      <c r="AB154" s="1">
        <v>0</v>
      </c>
      <c r="AC154" s="1">
        <v>0</v>
      </c>
      <c r="AD154" s="1">
        <v>0</v>
      </c>
      <c r="AE154" s="1">
        <v>28</v>
      </c>
      <c r="AF154" s="1">
        <v>7</v>
      </c>
      <c r="AG154" s="1">
        <v>178</v>
      </c>
      <c r="AH154" s="1">
        <v>0</v>
      </c>
      <c r="AI154" s="1">
        <v>33</v>
      </c>
      <c r="AJ154" s="1">
        <v>174</v>
      </c>
      <c r="AK154" s="1">
        <v>372</v>
      </c>
      <c r="AL154" s="1">
        <v>0</v>
      </c>
      <c r="AM154" s="1">
        <v>1175</v>
      </c>
      <c r="AN154" s="1">
        <v>0</v>
      </c>
      <c r="AO154" s="1">
        <v>2254</v>
      </c>
      <c r="AP154" s="1">
        <v>0</v>
      </c>
      <c r="AQ154" s="1">
        <v>689</v>
      </c>
      <c r="AR154" s="1">
        <v>0</v>
      </c>
      <c r="AS154" s="1">
        <v>1411</v>
      </c>
      <c r="AT154" s="1">
        <v>0</v>
      </c>
      <c r="AU154" s="1">
        <v>2313</v>
      </c>
      <c r="AV154" s="1">
        <v>0</v>
      </c>
      <c r="AW154" s="1">
        <v>696</v>
      </c>
      <c r="AX154" s="1">
        <v>0</v>
      </c>
      <c r="AY154" s="1">
        <v>1031</v>
      </c>
      <c r="AZ154" s="1">
        <v>0</v>
      </c>
      <c r="BA154" s="1">
        <v>0</v>
      </c>
    </row>
    <row r="155" spans="1:53">
      <c r="A155" s="19">
        <v>37001</v>
      </c>
      <c r="B155" s="1">
        <v>2024</v>
      </c>
      <c r="C155" s="1">
        <v>16090</v>
      </c>
      <c r="D155" s="1">
        <v>0</v>
      </c>
      <c r="E155" s="1">
        <v>0</v>
      </c>
      <c r="F155" s="1">
        <v>0</v>
      </c>
      <c r="G155" s="1">
        <v>224</v>
      </c>
      <c r="H155" s="1">
        <v>341</v>
      </c>
      <c r="I155" s="1">
        <v>376</v>
      </c>
      <c r="J155" s="1">
        <v>65</v>
      </c>
      <c r="K155" s="1">
        <v>91</v>
      </c>
      <c r="L155" s="1">
        <v>0</v>
      </c>
      <c r="M155" s="1">
        <v>15</v>
      </c>
      <c r="N155" s="1">
        <v>3</v>
      </c>
      <c r="O155" s="1">
        <v>0</v>
      </c>
      <c r="P155" s="1">
        <v>0</v>
      </c>
      <c r="Q155" s="1">
        <v>46</v>
      </c>
      <c r="R155" s="1">
        <v>0</v>
      </c>
      <c r="S155" s="1">
        <v>241</v>
      </c>
      <c r="T155" s="1">
        <v>0</v>
      </c>
      <c r="U155" s="1">
        <v>356</v>
      </c>
      <c r="V155" s="1">
        <v>125</v>
      </c>
      <c r="W155" s="1">
        <v>205</v>
      </c>
      <c r="X155" s="1">
        <v>86</v>
      </c>
      <c r="Y155" s="1">
        <v>513</v>
      </c>
      <c r="Z155" s="1">
        <v>0</v>
      </c>
      <c r="AA155" s="1">
        <v>37</v>
      </c>
      <c r="AB155" s="1">
        <v>0</v>
      </c>
      <c r="AC155" s="1">
        <v>122</v>
      </c>
      <c r="AD155" s="1">
        <v>0</v>
      </c>
      <c r="AE155" s="1">
        <v>152</v>
      </c>
      <c r="AF155" s="1">
        <v>0</v>
      </c>
      <c r="AG155" s="1">
        <v>81</v>
      </c>
      <c r="AH155" s="1">
        <v>0</v>
      </c>
      <c r="AI155" s="1">
        <v>161</v>
      </c>
      <c r="AJ155" s="1">
        <v>92</v>
      </c>
      <c r="AK155" s="1">
        <v>947</v>
      </c>
      <c r="AL155" s="1">
        <v>0</v>
      </c>
      <c r="AM155" s="1">
        <v>1916</v>
      </c>
      <c r="AN155" s="1">
        <v>0</v>
      </c>
      <c r="AO155" s="1">
        <v>1939</v>
      </c>
      <c r="AP155" s="1">
        <v>0</v>
      </c>
      <c r="AQ155" s="1">
        <v>1182</v>
      </c>
      <c r="AR155" s="1">
        <v>0</v>
      </c>
      <c r="AS155" s="1">
        <v>554</v>
      </c>
      <c r="AT155" s="1">
        <v>0</v>
      </c>
      <c r="AU155" s="1">
        <v>3071</v>
      </c>
      <c r="AV155" s="1">
        <v>0</v>
      </c>
      <c r="AW155" s="1">
        <v>937</v>
      </c>
      <c r="AX155" s="1">
        <v>0</v>
      </c>
      <c r="AY155" s="1">
        <v>2206</v>
      </c>
      <c r="AZ155" s="1">
        <v>0</v>
      </c>
      <c r="BA155" s="1">
        <v>6</v>
      </c>
    </row>
    <row r="156" spans="1:53">
      <c r="A156" s="19">
        <v>37002</v>
      </c>
      <c r="B156" s="1">
        <v>2024</v>
      </c>
      <c r="C156" s="1">
        <v>19059</v>
      </c>
      <c r="D156" s="1">
        <v>0</v>
      </c>
      <c r="E156" s="1">
        <v>0</v>
      </c>
      <c r="F156" s="1">
        <v>0</v>
      </c>
      <c r="G156" s="1">
        <v>0</v>
      </c>
      <c r="H156" s="1">
        <v>7</v>
      </c>
      <c r="I156" s="1">
        <v>42</v>
      </c>
      <c r="J156" s="1">
        <v>7</v>
      </c>
      <c r="K156" s="1">
        <v>8</v>
      </c>
      <c r="L156" s="1">
        <v>0</v>
      </c>
      <c r="M156" s="1">
        <v>366</v>
      </c>
      <c r="N156" s="1">
        <v>0</v>
      </c>
      <c r="O156" s="1">
        <v>92</v>
      </c>
      <c r="P156" s="1">
        <v>24</v>
      </c>
      <c r="Q156" s="1">
        <v>320</v>
      </c>
      <c r="R156" s="1">
        <v>77</v>
      </c>
      <c r="S156" s="1">
        <v>184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760</v>
      </c>
      <c r="Z156" s="1">
        <v>0</v>
      </c>
      <c r="AA156" s="1">
        <v>121</v>
      </c>
      <c r="AB156" s="1">
        <v>0</v>
      </c>
      <c r="AC156" s="1">
        <v>0</v>
      </c>
      <c r="AD156" s="1">
        <v>61</v>
      </c>
      <c r="AE156" s="1">
        <v>272</v>
      </c>
      <c r="AF156" s="1">
        <v>0</v>
      </c>
      <c r="AG156" s="1">
        <v>378</v>
      </c>
      <c r="AH156" s="1">
        <v>92</v>
      </c>
      <c r="AI156" s="1">
        <v>190</v>
      </c>
      <c r="AJ156" s="1">
        <v>381</v>
      </c>
      <c r="AK156" s="1">
        <v>1257</v>
      </c>
      <c r="AL156" s="1">
        <v>0</v>
      </c>
      <c r="AM156" s="1">
        <v>1161</v>
      </c>
      <c r="AN156" s="1">
        <v>0</v>
      </c>
      <c r="AO156" s="1">
        <v>1291</v>
      </c>
      <c r="AP156" s="1">
        <v>0</v>
      </c>
      <c r="AQ156" s="1">
        <v>222</v>
      </c>
      <c r="AR156" s="1">
        <v>0</v>
      </c>
      <c r="AS156" s="1">
        <v>936</v>
      </c>
      <c r="AT156" s="1">
        <v>0</v>
      </c>
      <c r="AU156" s="1">
        <v>4576</v>
      </c>
      <c r="AV156" s="1">
        <v>0</v>
      </c>
      <c r="AW156" s="1">
        <v>1676</v>
      </c>
      <c r="AX156" s="1">
        <v>0</v>
      </c>
      <c r="AY156" s="1">
        <v>4504</v>
      </c>
      <c r="AZ156" s="1">
        <v>0</v>
      </c>
      <c r="BA156" s="1">
        <v>54</v>
      </c>
    </row>
    <row r="157" spans="1:53">
      <c r="A157" s="19">
        <v>38002</v>
      </c>
      <c r="B157" s="1">
        <v>2024</v>
      </c>
      <c r="C157" s="1">
        <v>13193</v>
      </c>
      <c r="D157" s="1">
        <v>0</v>
      </c>
      <c r="E157" s="1">
        <v>0</v>
      </c>
      <c r="F157" s="1">
        <v>0</v>
      </c>
      <c r="G157" s="1">
        <v>97</v>
      </c>
      <c r="H157" s="1">
        <v>236</v>
      </c>
      <c r="I157" s="1">
        <v>896</v>
      </c>
      <c r="J157" s="1">
        <v>427</v>
      </c>
      <c r="K157" s="1">
        <v>147</v>
      </c>
      <c r="L157" s="1">
        <v>0</v>
      </c>
      <c r="M157" s="1">
        <v>0</v>
      </c>
      <c r="N157" s="1">
        <v>0</v>
      </c>
      <c r="O157" s="1">
        <v>395</v>
      </c>
      <c r="P157" s="1">
        <v>0</v>
      </c>
      <c r="Q157" s="1">
        <v>0</v>
      </c>
      <c r="R157" s="1">
        <v>0</v>
      </c>
      <c r="S157" s="1">
        <v>108</v>
      </c>
      <c r="T157" s="1">
        <v>0</v>
      </c>
      <c r="U157" s="1">
        <v>23</v>
      </c>
      <c r="V157" s="1">
        <v>0</v>
      </c>
      <c r="W157" s="1">
        <v>486</v>
      </c>
      <c r="X157" s="1">
        <v>0</v>
      </c>
      <c r="Y157" s="1">
        <v>272</v>
      </c>
      <c r="Z157" s="1">
        <v>0</v>
      </c>
      <c r="AA157" s="1">
        <v>176</v>
      </c>
      <c r="AB157" s="1">
        <v>0</v>
      </c>
      <c r="AC157" s="1">
        <v>0</v>
      </c>
      <c r="AD157" s="1">
        <v>0</v>
      </c>
      <c r="AE157" s="1">
        <v>393</v>
      </c>
      <c r="AF157" s="1">
        <v>0</v>
      </c>
      <c r="AG157" s="1">
        <v>245</v>
      </c>
      <c r="AH157" s="1">
        <v>9</v>
      </c>
      <c r="AI157" s="1">
        <v>83</v>
      </c>
      <c r="AJ157" s="1">
        <v>0</v>
      </c>
      <c r="AK157" s="1">
        <v>320</v>
      </c>
      <c r="AL157" s="1">
        <v>0</v>
      </c>
      <c r="AM157" s="1">
        <v>857</v>
      </c>
      <c r="AN157" s="1">
        <v>0</v>
      </c>
      <c r="AO157" s="1">
        <v>566</v>
      </c>
      <c r="AP157" s="1">
        <v>0</v>
      </c>
      <c r="AQ157" s="1">
        <v>748</v>
      </c>
      <c r="AR157" s="1">
        <v>0</v>
      </c>
      <c r="AS157" s="1">
        <v>1210</v>
      </c>
      <c r="AT157" s="1">
        <v>0</v>
      </c>
      <c r="AU157" s="1">
        <v>3425</v>
      </c>
      <c r="AV157" s="1">
        <v>0</v>
      </c>
      <c r="AW157" s="1">
        <v>1508</v>
      </c>
      <c r="AX157" s="1">
        <v>0</v>
      </c>
      <c r="AY157" s="1">
        <v>219</v>
      </c>
      <c r="AZ157" s="1">
        <v>0</v>
      </c>
      <c r="BA157" s="1">
        <v>347</v>
      </c>
    </row>
    <row r="158" spans="1:53">
      <c r="A158" s="19">
        <v>39001</v>
      </c>
      <c r="B158" s="1">
        <v>2024</v>
      </c>
      <c r="C158" s="1">
        <v>9178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49</v>
      </c>
      <c r="T158" s="1">
        <v>20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104</v>
      </c>
      <c r="AD158" s="1">
        <v>0</v>
      </c>
      <c r="AE158" s="1">
        <v>0</v>
      </c>
      <c r="AF158" s="1">
        <v>0</v>
      </c>
      <c r="AG158" s="1">
        <v>100</v>
      </c>
      <c r="AH158" s="1">
        <v>0</v>
      </c>
      <c r="AI158" s="1">
        <v>601</v>
      </c>
      <c r="AJ158" s="1">
        <v>0</v>
      </c>
      <c r="AK158" s="1">
        <v>183</v>
      </c>
      <c r="AL158" s="1">
        <v>0</v>
      </c>
      <c r="AM158" s="1">
        <v>437</v>
      </c>
      <c r="AN158" s="1">
        <v>0</v>
      </c>
      <c r="AO158" s="1">
        <v>1523</v>
      </c>
      <c r="AP158" s="1">
        <v>0</v>
      </c>
      <c r="AQ158" s="1">
        <v>165</v>
      </c>
      <c r="AR158" s="1">
        <v>0</v>
      </c>
      <c r="AS158" s="1">
        <v>740</v>
      </c>
      <c r="AT158" s="1">
        <v>0</v>
      </c>
      <c r="AU158" s="1">
        <v>882</v>
      </c>
      <c r="AV158" s="1">
        <v>0</v>
      </c>
      <c r="AW158" s="1">
        <v>1753</v>
      </c>
      <c r="AX158" s="1">
        <v>0</v>
      </c>
      <c r="AY158" s="1">
        <v>2422</v>
      </c>
      <c r="AZ158" s="1">
        <v>199</v>
      </c>
      <c r="BA158" s="1">
        <v>0</v>
      </c>
    </row>
    <row r="159" spans="1:53">
      <c r="A159" s="19">
        <v>40003</v>
      </c>
      <c r="B159" s="1">
        <v>2024</v>
      </c>
      <c r="C159" s="1">
        <v>8496</v>
      </c>
      <c r="D159" s="1">
        <v>0</v>
      </c>
      <c r="E159" s="1">
        <v>0</v>
      </c>
      <c r="F159" s="1">
        <v>104</v>
      </c>
      <c r="G159" s="1">
        <v>91</v>
      </c>
      <c r="H159" s="1">
        <v>624</v>
      </c>
      <c r="I159" s="1">
        <v>202</v>
      </c>
      <c r="J159" s="1">
        <v>132</v>
      </c>
      <c r="K159" s="1">
        <v>23</v>
      </c>
      <c r="L159" s="1">
        <v>12</v>
      </c>
      <c r="M159" s="1">
        <v>9</v>
      </c>
      <c r="N159" s="1">
        <v>0</v>
      </c>
      <c r="O159" s="1">
        <v>0</v>
      </c>
      <c r="P159" s="1">
        <v>3</v>
      </c>
      <c r="Q159" s="1">
        <v>57</v>
      </c>
      <c r="R159" s="1">
        <v>72</v>
      </c>
      <c r="S159" s="1">
        <v>225</v>
      </c>
      <c r="T159" s="1">
        <v>4</v>
      </c>
      <c r="U159" s="1">
        <v>249</v>
      </c>
      <c r="V159" s="1">
        <v>366</v>
      </c>
      <c r="W159" s="1">
        <v>729</v>
      </c>
      <c r="X159" s="1">
        <v>0</v>
      </c>
      <c r="Y159" s="1">
        <v>344</v>
      </c>
      <c r="Z159" s="1">
        <v>89</v>
      </c>
      <c r="AA159" s="1">
        <v>237</v>
      </c>
      <c r="AB159" s="1">
        <v>0</v>
      </c>
      <c r="AC159" s="1">
        <v>86</v>
      </c>
      <c r="AD159" s="1">
        <v>0</v>
      </c>
      <c r="AE159" s="1">
        <v>754</v>
      </c>
      <c r="AF159" s="1">
        <v>84</v>
      </c>
      <c r="AG159" s="1">
        <v>165</v>
      </c>
      <c r="AH159" s="1">
        <v>0</v>
      </c>
      <c r="AI159" s="1">
        <v>183</v>
      </c>
      <c r="AJ159" s="1">
        <v>0</v>
      </c>
      <c r="AK159" s="1">
        <v>178</v>
      </c>
      <c r="AL159" s="1">
        <v>0</v>
      </c>
      <c r="AM159" s="1">
        <v>311</v>
      </c>
      <c r="AN159" s="1">
        <v>0</v>
      </c>
      <c r="AO159" s="1">
        <v>0</v>
      </c>
      <c r="AP159" s="1">
        <v>0</v>
      </c>
      <c r="AQ159" s="1">
        <v>577</v>
      </c>
      <c r="AR159" s="1">
        <v>0</v>
      </c>
      <c r="AS159" s="1">
        <v>1436</v>
      </c>
      <c r="AT159" s="1">
        <v>0</v>
      </c>
      <c r="AU159" s="1">
        <v>434</v>
      </c>
      <c r="AV159" s="1">
        <v>0</v>
      </c>
      <c r="AW159" s="1">
        <v>440</v>
      </c>
      <c r="AX159" s="1">
        <v>0</v>
      </c>
      <c r="AY159" s="1">
        <v>276</v>
      </c>
      <c r="AZ159" s="1">
        <v>0</v>
      </c>
      <c r="BA159" s="1">
        <v>0</v>
      </c>
    </row>
    <row r="160" spans="1:53">
      <c r="A160" s="19">
        <v>40004</v>
      </c>
      <c r="B160" s="1">
        <v>2024</v>
      </c>
      <c r="C160" s="1">
        <v>9609</v>
      </c>
      <c r="D160" s="1">
        <v>0</v>
      </c>
      <c r="E160" s="1">
        <v>0</v>
      </c>
      <c r="F160" s="1">
        <v>101</v>
      </c>
      <c r="G160" s="1">
        <v>0</v>
      </c>
      <c r="H160" s="1">
        <v>75</v>
      </c>
      <c r="I160" s="1">
        <v>203</v>
      </c>
      <c r="J160" s="1">
        <v>288</v>
      </c>
      <c r="K160" s="1">
        <v>124</v>
      </c>
      <c r="L160" s="1">
        <v>0</v>
      </c>
      <c r="M160" s="1">
        <v>1</v>
      </c>
      <c r="N160" s="1">
        <v>0</v>
      </c>
      <c r="O160" s="1">
        <v>92</v>
      </c>
      <c r="P160" s="1">
        <v>94</v>
      </c>
      <c r="Q160" s="1">
        <v>499</v>
      </c>
      <c r="R160" s="1">
        <v>0</v>
      </c>
      <c r="S160" s="1">
        <v>510</v>
      </c>
      <c r="T160" s="1">
        <v>0</v>
      </c>
      <c r="U160" s="1">
        <v>0</v>
      </c>
      <c r="V160" s="1">
        <v>0</v>
      </c>
      <c r="W160" s="1">
        <v>26</v>
      </c>
      <c r="X160" s="1">
        <v>0</v>
      </c>
      <c r="Y160" s="1">
        <v>390</v>
      </c>
      <c r="Z160" s="1">
        <v>0</v>
      </c>
      <c r="AA160" s="1">
        <v>14</v>
      </c>
      <c r="AB160" s="1">
        <v>0</v>
      </c>
      <c r="AC160" s="1">
        <v>66</v>
      </c>
      <c r="AD160" s="1">
        <v>0</v>
      </c>
      <c r="AE160" s="1">
        <v>341</v>
      </c>
      <c r="AF160" s="1">
        <v>0</v>
      </c>
      <c r="AG160" s="1">
        <v>414</v>
      </c>
      <c r="AH160" s="1">
        <v>6</v>
      </c>
      <c r="AI160" s="1">
        <v>38</v>
      </c>
      <c r="AJ160" s="1">
        <v>0</v>
      </c>
      <c r="AK160" s="1">
        <v>304</v>
      </c>
      <c r="AL160" s="1">
        <v>0</v>
      </c>
      <c r="AM160" s="1">
        <v>971</v>
      </c>
      <c r="AN160" s="1">
        <v>0</v>
      </c>
      <c r="AO160" s="1">
        <v>586</v>
      </c>
      <c r="AP160" s="1">
        <v>0</v>
      </c>
      <c r="AQ160" s="1">
        <v>390</v>
      </c>
      <c r="AR160" s="1">
        <v>0</v>
      </c>
      <c r="AS160" s="1">
        <v>638</v>
      </c>
      <c r="AT160" s="1">
        <v>0</v>
      </c>
      <c r="AU160" s="1">
        <v>1576</v>
      </c>
      <c r="AV160" s="1">
        <v>0</v>
      </c>
      <c r="AW160" s="1">
        <v>576</v>
      </c>
      <c r="AX160" s="1">
        <v>0</v>
      </c>
      <c r="AY160" s="1">
        <v>1134</v>
      </c>
      <c r="AZ160" s="1">
        <v>0</v>
      </c>
      <c r="BA160" s="1">
        <v>152</v>
      </c>
    </row>
    <row r="161" spans="1:53">
      <c r="A161" s="19">
        <v>41002</v>
      </c>
      <c r="B161" s="1">
        <v>2024</v>
      </c>
      <c r="C161" s="1">
        <v>16559</v>
      </c>
      <c r="D161" s="1">
        <v>0</v>
      </c>
      <c r="E161" s="1">
        <v>0</v>
      </c>
      <c r="F161" s="1">
        <v>0</v>
      </c>
      <c r="G161" s="1">
        <v>0</v>
      </c>
      <c r="H161" s="1">
        <v>67</v>
      </c>
      <c r="I161" s="1">
        <v>30</v>
      </c>
      <c r="J161" s="1">
        <v>238</v>
      </c>
      <c r="K161" s="1">
        <v>227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34</v>
      </c>
      <c r="R161" s="1">
        <v>0</v>
      </c>
      <c r="S161" s="1">
        <v>7</v>
      </c>
      <c r="T161" s="1">
        <v>17</v>
      </c>
      <c r="U161" s="1">
        <v>274</v>
      </c>
      <c r="V161" s="1">
        <v>0</v>
      </c>
      <c r="W161" s="1">
        <v>269</v>
      </c>
      <c r="X161" s="1">
        <v>90</v>
      </c>
      <c r="Y161" s="1">
        <v>80</v>
      </c>
      <c r="Z161" s="1">
        <v>0</v>
      </c>
      <c r="AA161" s="1">
        <v>114</v>
      </c>
      <c r="AB161" s="1">
        <v>0</v>
      </c>
      <c r="AC161" s="1">
        <v>90</v>
      </c>
      <c r="AD161" s="1">
        <v>0</v>
      </c>
      <c r="AE161" s="1">
        <v>36</v>
      </c>
      <c r="AF161" s="1">
        <v>0</v>
      </c>
      <c r="AG161" s="1">
        <v>246</v>
      </c>
      <c r="AH161" s="1">
        <v>0</v>
      </c>
      <c r="AI161" s="1">
        <v>374</v>
      </c>
      <c r="AJ161" s="1">
        <v>0</v>
      </c>
      <c r="AK161" s="1">
        <v>775</v>
      </c>
      <c r="AL161" s="1">
        <v>0</v>
      </c>
      <c r="AM161" s="1">
        <v>1381</v>
      </c>
      <c r="AN161" s="1">
        <v>0</v>
      </c>
      <c r="AO161" s="1">
        <v>2041</v>
      </c>
      <c r="AP161" s="1">
        <v>0</v>
      </c>
      <c r="AQ161" s="1">
        <v>436</v>
      </c>
      <c r="AR161" s="1">
        <v>0</v>
      </c>
      <c r="AS161" s="1">
        <v>1443</v>
      </c>
      <c r="AT161" s="1">
        <v>0</v>
      </c>
      <c r="AU161" s="1">
        <v>2697</v>
      </c>
      <c r="AV161" s="1">
        <v>0</v>
      </c>
      <c r="AW161" s="1">
        <v>1878</v>
      </c>
      <c r="AX161" s="1">
        <v>0</v>
      </c>
      <c r="AY161" s="1">
        <v>3713</v>
      </c>
      <c r="AZ161" s="1">
        <v>0</v>
      </c>
      <c r="BA161" s="1">
        <v>2</v>
      </c>
    </row>
    <row r="162" spans="1:53">
      <c r="A162" s="19">
        <v>41003</v>
      </c>
      <c r="B162" s="1">
        <v>2024</v>
      </c>
      <c r="C162" s="1">
        <v>10821</v>
      </c>
      <c r="D162" s="1">
        <v>0</v>
      </c>
      <c r="E162" s="1">
        <v>29</v>
      </c>
      <c r="F162" s="1">
        <v>40</v>
      </c>
      <c r="G162" s="1">
        <v>0</v>
      </c>
      <c r="H162" s="1">
        <v>403</v>
      </c>
      <c r="I162" s="1">
        <v>97</v>
      </c>
      <c r="J162" s="1">
        <v>132</v>
      </c>
      <c r="K162" s="1">
        <v>47</v>
      </c>
      <c r="L162" s="1">
        <v>0</v>
      </c>
      <c r="M162" s="1">
        <v>0</v>
      </c>
      <c r="N162" s="1">
        <v>0</v>
      </c>
      <c r="O162" s="1">
        <v>30</v>
      </c>
      <c r="P162" s="1">
        <v>0</v>
      </c>
      <c r="Q162" s="1">
        <v>0</v>
      </c>
      <c r="R162" s="1">
        <v>8</v>
      </c>
      <c r="S162" s="1">
        <v>379</v>
      </c>
      <c r="T162" s="1">
        <v>61</v>
      </c>
      <c r="U162" s="1">
        <v>165</v>
      </c>
      <c r="V162" s="1">
        <v>0</v>
      </c>
      <c r="W162" s="1">
        <v>647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31</v>
      </c>
      <c r="AH162" s="1">
        <v>0</v>
      </c>
      <c r="AI162" s="1">
        <v>92</v>
      </c>
      <c r="AJ162" s="1">
        <v>0</v>
      </c>
      <c r="AK162" s="1">
        <v>136</v>
      </c>
      <c r="AL162" s="1">
        <v>0</v>
      </c>
      <c r="AM162" s="1">
        <v>844</v>
      </c>
      <c r="AN162" s="1">
        <v>0</v>
      </c>
      <c r="AO162" s="1">
        <v>1242</v>
      </c>
      <c r="AP162" s="1">
        <v>0</v>
      </c>
      <c r="AQ162" s="1">
        <v>798</v>
      </c>
      <c r="AR162" s="1">
        <v>0</v>
      </c>
      <c r="AS162" s="1">
        <v>1509</v>
      </c>
      <c r="AT162" s="1">
        <v>0</v>
      </c>
      <c r="AU162" s="1">
        <v>1187</v>
      </c>
      <c r="AV162" s="1">
        <v>0</v>
      </c>
      <c r="AW162" s="1">
        <v>689</v>
      </c>
      <c r="AX162" s="1">
        <v>0</v>
      </c>
      <c r="AY162" s="1">
        <v>2255</v>
      </c>
      <c r="AZ162" s="1">
        <v>0</v>
      </c>
      <c r="BA162" s="1">
        <v>0</v>
      </c>
    </row>
    <row r="163" spans="1:53">
      <c r="A163" s="19">
        <v>42001</v>
      </c>
      <c r="B163" s="1">
        <v>2024</v>
      </c>
      <c r="C163" s="1">
        <v>15108</v>
      </c>
      <c r="D163" s="1">
        <v>0</v>
      </c>
      <c r="E163" s="1">
        <v>0</v>
      </c>
      <c r="F163" s="1">
        <v>98</v>
      </c>
      <c r="G163" s="1">
        <v>33</v>
      </c>
      <c r="H163" s="1">
        <v>815</v>
      </c>
      <c r="I163" s="1">
        <v>283</v>
      </c>
      <c r="J163" s="1">
        <v>304</v>
      </c>
      <c r="K163" s="1">
        <v>96</v>
      </c>
      <c r="L163" s="1">
        <v>0</v>
      </c>
      <c r="M163" s="1">
        <v>0</v>
      </c>
      <c r="N163" s="1">
        <v>0</v>
      </c>
      <c r="O163" s="1">
        <v>118</v>
      </c>
      <c r="P163" s="1">
        <v>0</v>
      </c>
      <c r="Q163" s="1">
        <v>89</v>
      </c>
      <c r="R163" s="1">
        <v>0</v>
      </c>
      <c r="S163" s="1">
        <v>34</v>
      </c>
      <c r="T163" s="1">
        <v>0</v>
      </c>
      <c r="U163" s="1">
        <v>309</v>
      </c>
      <c r="V163" s="1">
        <v>0</v>
      </c>
      <c r="W163" s="1">
        <v>967</v>
      </c>
      <c r="X163" s="1">
        <v>0</v>
      </c>
      <c r="Y163" s="1">
        <v>1134</v>
      </c>
      <c r="Z163" s="1">
        <v>0</v>
      </c>
      <c r="AA163" s="1">
        <v>0</v>
      </c>
      <c r="AB163" s="1">
        <v>0</v>
      </c>
      <c r="AC163" s="1">
        <v>93</v>
      </c>
      <c r="AD163" s="1">
        <v>0</v>
      </c>
      <c r="AE163" s="1">
        <v>37</v>
      </c>
      <c r="AF163" s="1">
        <v>0</v>
      </c>
      <c r="AG163" s="1">
        <v>268</v>
      </c>
      <c r="AH163" s="1">
        <v>0</v>
      </c>
      <c r="AI163" s="1">
        <v>149</v>
      </c>
      <c r="AJ163" s="1">
        <v>0</v>
      </c>
      <c r="AK163" s="1">
        <v>823</v>
      </c>
      <c r="AL163" s="1">
        <v>0</v>
      </c>
      <c r="AM163" s="1">
        <v>564</v>
      </c>
      <c r="AN163" s="1">
        <v>0</v>
      </c>
      <c r="AO163" s="1">
        <v>601</v>
      </c>
      <c r="AP163" s="1">
        <v>0</v>
      </c>
      <c r="AQ163" s="1">
        <v>804</v>
      </c>
      <c r="AR163" s="1">
        <v>0</v>
      </c>
      <c r="AS163" s="1">
        <v>1004</v>
      </c>
      <c r="AT163" s="1">
        <v>0</v>
      </c>
      <c r="AU163" s="1">
        <v>1929</v>
      </c>
      <c r="AV163" s="1">
        <v>0</v>
      </c>
      <c r="AW163" s="1">
        <v>1822</v>
      </c>
      <c r="AX163" s="1">
        <v>0</v>
      </c>
      <c r="AY163" s="1">
        <v>2734</v>
      </c>
      <c r="AZ163" s="1">
        <v>0</v>
      </c>
      <c r="BA163" s="1">
        <v>0</v>
      </c>
    </row>
    <row r="164" spans="1:53">
      <c r="A164" s="19">
        <v>42005</v>
      </c>
      <c r="B164" s="1">
        <v>2024</v>
      </c>
      <c r="C164" s="1">
        <v>26658</v>
      </c>
      <c r="D164" s="1">
        <v>0</v>
      </c>
      <c r="E164" s="1">
        <v>0</v>
      </c>
      <c r="F164" s="1">
        <v>29</v>
      </c>
      <c r="G164" s="1">
        <v>73</v>
      </c>
      <c r="H164" s="1">
        <v>2284</v>
      </c>
      <c r="I164" s="1">
        <v>1237</v>
      </c>
      <c r="J164" s="1">
        <v>866</v>
      </c>
      <c r="K164" s="1">
        <v>615</v>
      </c>
      <c r="L164" s="1">
        <v>88</v>
      </c>
      <c r="M164" s="1">
        <v>4</v>
      </c>
      <c r="N164" s="1">
        <v>47</v>
      </c>
      <c r="O164" s="1">
        <v>3</v>
      </c>
      <c r="P164" s="1">
        <v>0</v>
      </c>
      <c r="Q164" s="1">
        <v>112</v>
      </c>
      <c r="R164" s="1">
        <v>0</v>
      </c>
      <c r="S164" s="1">
        <v>76</v>
      </c>
      <c r="T164" s="1">
        <v>62</v>
      </c>
      <c r="U164" s="1">
        <v>1075</v>
      </c>
      <c r="V164" s="1">
        <v>92</v>
      </c>
      <c r="W164" s="1">
        <v>1558</v>
      </c>
      <c r="X164" s="1">
        <v>141</v>
      </c>
      <c r="Y164" s="1">
        <v>1126</v>
      </c>
      <c r="Z164" s="1">
        <v>13</v>
      </c>
      <c r="AA164" s="1">
        <v>151</v>
      </c>
      <c r="AB164" s="1">
        <v>92</v>
      </c>
      <c r="AC164" s="1">
        <v>274</v>
      </c>
      <c r="AD164" s="1">
        <v>24</v>
      </c>
      <c r="AE164" s="1">
        <v>2801</v>
      </c>
      <c r="AF164" s="1">
        <v>0</v>
      </c>
      <c r="AG164" s="1">
        <v>313</v>
      </c>
      <c r="AH164" s="1">
        <v>44</v>
      </c>
      <c r="AI164" s="1">
        <v>247</v>
      </c>
      <c r="AJ164" s="1">
        <v>0</v>
      </c>
      <c r="AK164" s="1">
        <v>732</v>
      </c>
      <c r="AL164" s="1">
        <v>0</v>
      </c>
      <c r="AM164" s="1">
        <v>1021</v>
      </c>
      <c r="AN164" s="1">
        <v>0</v>
      </c>
      <c r="AO164" s="1">
        <v>1091</v>
      </c>
      <c r="AP164" s="1">
        <v>0</v>
      </c>
      <c r="AQ164" s="1">
        <v>1033</v>
      </c>
      <c r="AR164" s="1">
        <v>0</v>
      </c>
      <c r="AS164" s="1">
        <v>3370</v>
      </c>
      <c r="AT164" s="1">
        <v>0</v>
      </c>
      <c r="AU164" s="1">
        <v>1898</v>
      </c>
      <c r="AV164" s="1">
        <v>0</v>
      </c>
      <c r="AW164" s="1">
        <v>1052</v>
      </c>
      <c r="AX164" s="1">
        <v>0</v>
      </c>
      <c r="AY164" s="1">
        <v>2946</v>
      </c>
      <c r="AZ164" s="1">
        <v>0</v>
      </c>
      <c r="BA164" s="1">
        <v>68</v>
      </c>
    </row>
    <row r="165" spans="1:53">
      <c r="A165" s="19">
        <v>43001</v>
      </c>
      <c r="B165" s="1">
        <v>2024</v>
      </c>
      <c r="C165" s="1">
        <v>14584</v>
      </c>
      <c r="D165" s="1">
        <v>0</v>
      </c>
      <c r="E165" s="1">
        <v>34</v>
      </c>
      <c r="F165" s="1">
        <v>222</v>
      </c>
      <c r="G165" s="1">
        <v>57</v>
      </c>
      <c r="H165" s="1">
        <v>1539</v>
      </c>
      <c r="I165" s="1">
        <v>1204</v>
      </c>
      <c r="J165" s="1">
        <v>510</v>
      </c>
      <c r="K165" s="1">
        <v>219</v>
      </c>
      <c r="L165" s="1">
        <v>0</v>
      </c>
      <c r="M165" s="1">
        <v>0</v>
      </c>
      <c r="N165" s="1">
        <v>62</v>
      </c>
      <c r="O165" s="1">
        <v>1348</v>
      </c>
      <c r="P165" s="1">
        <v>0</v>
      </c>
      <c r="Q165" s="1">
        <v>354</v>
      </c>
      <c r="R165" s="1">
        <v>0</v>
      </c>
      <c r="S165" s="1">
        <v>246</v>
      </c>
      <c r="T165" s="1">
        <v>0</v>
      </c>
      <c r="U165" s="1">
        <v>35</v>
      </c>
      <c r="V165" s="1">
        <v>0</v>
      </c>
      <c r="W165" s="1">
        <v>1113</v>
      </c>
      <c r="X165" s="1">
        <v>0</v>
      </c>
      <c r="Y165" s="1">
        <v>325</v>
      </c>
      <c r="Z165" s="1">
        <v>0</v>
      </c>
      <c r="AA165" s="1">
        <v>99</v>
      </c>
      <c r="AB165" s="1">
        <v>0</v>
      </c>
      <c r="AC165" s="1">
        <v>0</v>
      </c>
      <c r="AD165" s="1">
        <v>0</v>
      </c>
      <c r="AE165" s="1">
        <v>1012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612</v>
      </c>
      <c r="AL165" s="1">
        <v>0</v>
      </c>
      <c r="AM165" s="1">
        <v>30</v>
      </c>
      <c r="AN165" s="1">
        <v>0</v>
      </c>
      <c r="AO165" s="1">
        <v>118</v>
      </c>
      <c r="AP165" s="1">
        <v>0</v>
      </c>
      <c r="AQ165" s="1">
        <v>643</v>
      </c>
      <c r="AR165" s="1">
        <v>0</v>
      </c>
      <c r="AS165" s="1">
        <v>1208</v>
      </c>
      <c r="AT165" s="1">
        <v>0</v>
      </c>
      <c r="AU165" s="1">
        <v>1348</v>
      </c>
      <c r="AV165" s="1">
        <v>0</v>
      </c>
      <c r="AW165" s="1">
        <v>568</v>
      </c>
      <c r="AX165" s="1">
        <v>0</v>
      </c>
      <c r="AY165" s="1">
        <v>856</v>
      </c>
      <c r="AZ165" s="1">
        <v>0</v>
      </c>
      <c r="BA165" s="1">
        <v>822</v>
      </c>
    </row>
    <row r="166" spans="1:53">
      <c r="A166" s="19">
        <v>43002</v>
      </c>
      <c r="B166" s="1">
        <v>2024</v>
      </c>
      <c r="C166" s="1">
        <v>41480</v>
      </c>
      <c r="D166" s="1">
        <v>0</v>
      </c>
      <c r="E166" s="1">
        <v>111</v>
      </c>
      <c r="F166" s="1">
        <v>217</v>
      </c>
      <c r="G166" s="1">
        <v>320</v>
      </c>
      <c r="H166" s="1">
        <v>1461</v>
      </c>
      <c r="I166" s="1">
        <v>3042</v>
      </c>
      <c r="J166" s="1">
        <v>1321</v>
      </c>
      <c r="K166" s="1">
        <v>848</v>
      </c>
      <c r="L166" s="1">
        <v>12</v>
      </c>
      <c r="M166" s="1">
        <v>28</v>
      </c>
      <c r="N166" s="1">
        <v>97</v>
      </c>
      <c r="O166" s="1">
        <v>246</v>
      </c>
      <c r="P166" s="1">
        <v>42</v>
      </c>
      <c r="Q166" s="1">
        <v>170</v>
      </c>
      <c r="R166" s="1">
        <v>125</v>
      </c>
      <c r="S166" s="1">
        <v>433</v>
      </c>
      <c r="T166" s="1">
        <v>0</v>
      </c>
      <c r="U166" s="1">
        <v>380</v>
      </c>
      <c r="V166" s="1">
        <v>0</v>
      </c>
      <c r="W166" s="1">
        <v>1248</v>
      </c>
      <c r="X166" s="1">
        <v>183</v>
      </c>
      <c r="Y166" s="1">
        <v>1664</v>
      </c>
      <c r="Z166" s="1">
        <v>277</v>
      </c>
      <c r="AA166" s="1">
        <v>323</v>
      </c>
      <c r="AB166" s="1">
        <v>0</v>
      </c>
      <c r="AC166" s="1">
        <v>91</v>
      </c>
      <c r="AD166" s="1">
        <v>52</v>
      </c>
      <c r="AE166" s="1">
        <v>1448</v>
      </c>
      <c r="AF166" s="1">
        <v>25</v>
      </c>
      <c r="AG166" s="1">
        <v>1457</v>
      </c>
      <c r="AH166" s="1">
        <v>60</v>
      </c>
      <c r="AI166" s="1">
        <v>620</v>
      </c>
      <c r="AJ166" s="1">
        <v>30</v>
      </c>
      <c r="AK166" s="1">
        <v>1337</v>
      </c>
      <c r="AL166" s="1">
        <v>0</v>
      </c>
      <c r="AM166" s="1">
        <v>1516</v>
      </c>
      <c r="AN166" s="1">
        <v>0</v>
      </c>
      <c r="AO166" s="1">
        <v>1955</v>
      </c>
      <c r="AP166" s="1">
        <v>0</v>
      </c>
      <c r="AQ166" s="1">
        <v>1015</v>
      </c>
      <c r="AR166" s="1">
        <v>0</v>
      </c>
      <c r="AS166" s="1">
        <v>3457</v>
      </c>
      <c r="AT166" s="1">
        <v>0</v>
      </c>
      <c r="AU166" s="1">
        <v>4405</v>
      </c>
      <c r="AV166" s="1">
        <v>0</v>
      </c>
      <c r="AW166" s="1">
        <v>3475</v>
      </c>
      <c r="AX166" s="1">
        <v>0</v>
      </c>
      <c r="AY166" s="1">
        <v>7989</v>
      </c>
      <c r="AZ166" s="1">
        <v>0</v>
      </c>
      <c r="BA166" s="1">
        <v>0</v>
      </c>
    </row>
    <row r="167" spans="1:53">
      <c r="A167" s="19">
        <v>43003</v>
      </c>
      <c r="B167" s="1">
        <v>2024</v>
      </c>
      <c r="C167" s="1">
        <v>29997</v>
      </c>
      <c r="D167" s="1">
        <v>0</v>
      </c>
      <c r="E167" s="1">
        <v>0</v>
      </c>
      <c r="F167" s="1">
        <v>42</v>
      </c>
      <c r="G167" s="1">
        <v>60</v>
      </c>
      <c r="H167" s="1">
        <v>1526</v>
      </c>
      <c r="I167" s="1">
        <v>2126</v>
      </c>
      <c r="J167" s="1">
        <v>1175</v>
      </c>
      <c r="K167" s="1">
        <v>255</v>
      </c>
      <c r="L167" s="1">
        <v>0</v>
      </c>
      <c r="M167" s="1">
        <v>10</v>
      </c>
      <c r="N167" s="1">
        <v>0</v>
      </c>
      <c r="O167" s="1">
        <v>0</v>
      </c>
      <c r="P167" s="1">
        <v>0</v>
      </c>
      <c r="Q167" s="1">
        <v>84</v>
      </c>
      <c r="R167" s="1">
        <v>0</v>
      </c>
      <c r="S167" s="1">
        <v>235</v>
      </c>
      <c r="T167" s="1">
        <v>0</v>
      </c>
      <c r="U167" s="1">
        <v>387</v>
      </c>
      <c r="V167" s="1">
        <v>0</v>
      </c>
      <c r="W167" s="1">
        <v>377</v>
      </c>
      <c r="X167" s="1">
        <v>0</v>
      </c>
      <c r="Y167" s="1">
        <v>2119</v>
      </c>
      <c r="Z167" s="1">
        <v>0</v>
      </c>
      <c r="AA167" s="1">
        <v>215</v>
      </c>
      <c r="AB167" s="1">
        <v>0</v>
      </c>
      <c r="AC167" s="1">
        <v>158</v>
      </c>
      <c r="AD167" s="1">
        <v>0</v>
      </c>
      <c r="AE167" s="1">
        <v>549</v>
      </c>
      <c r="AF167" s="1">
        <v>0</v>
      </c>
      <c r="AG167" s="1">
        <v>1931</v>
      </c>
      <c r="AH167" s="1">
        <v>0</v>
      </c>
      <c r="AI167" s="1">
        <v>708</v>
      </c>
      <c r="AJ167" s="1">
        <v>0</v>
      </c>
      <c r="AK167" s="1">
        <v>1230</v>
      </c>
      <c r="AL167" s="1">
        <v>0</v>
      </c>
      <c r="AM167" s="1">
        <v>417</v>
      </c>
      <c r="AN167" s="1">
        <v>0</v>
      </c>
      <c r="AO167" s="1">
        <v>1112</v>
      </c>
      <c r="AP167" s="1">
        <v>0</v>
      </c>
      <c r="AQ167" s="1">
        <v>847</v>
      </c>
      <c r="AR167" s="1">
        <v>0</v>
      </c>
      <c r="AS167" s="1">
        <v>1392</v>
      </c>
      <c r="AT167" s="1">
        <v>0</v>
      </c>
      <c r="AU167" s="1">
        <v>5594</v>
      </c>
      <c r="AV167" s="1">
        <v>0</v>
      </c>
      <c r="AW167" s="1">
        <v>2659</v>
      </c>
      <c r="AX167" s="1">
        <v>0</v>
      </c>
      <c r="AY167" s="1">
        <v>4789</v>
      </c>
      <c r="AZ167" s="1">
        <v>0</v>
      </c>
      <c r="BA167" s="1">
        <v>0</v>
      </c>
    </row>
    <row r="168" spans="1:53">
      <c r="A168" s="19">
        <v>44001</v>
      </c>
      <c r="B168" s="1">
        <v>2024</v>
      </c>
      <c r="C168" s="1">
        <v>10912</v>
      </c>
      <c r="D168" s="1">
        <v>0</v>
      </c>
      <c r="E168" s="1">
        <v>0</v>
      </c>
      <c r="F168" s="1">
        <v>91</v>
      </c>
      <c r="G168" s="1">
        <v>0</v>
      </c>
      <c r="H168" s="1">
        <v>0</v>
      </c>
      <c r="I168" s="1">
        <v>0</v>
      </c>
      <c r="J168" s="1">
        <v>292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314</v>
      </c>
      <c r="R168" s="1">
        <v>0</v>
      </c>
      <c r="S168" s="1">
        <v>92</v>
      </c>
      <c r="T168" s="1">
        <v>0</v>
      </c>
      <c r="U168" s="1">
        <v>71</v>
      </c>
      <c r="V168" s="1">
        <v>0</v>
      </c>
      <c r="W168" s="1">
        <v>636</v>
      </c>
      <c r="X168" s="1">
        <v>12</v>
      </c>
      <c r="Y168" s="1">
        <v>224</v>
      </c>
      <c r="Z168" s="1">
        <v>0</v>
      </c>
      <c r="AA168" s="1">
        <v>254</v>
      </c>
      <c r="AB168" s="1">
        <v>0</v>
      </c>
      <c r="AC168" s="1">
        <v>0</v>
      </c>
      <c r="AD168" s="1">
        <v>0</v>
      </c>
      <c r="AE168" s="1">
        <v>317</v>
      </c>
      <c r="AF168" s="1">
        <v>0</v>
      </c>
      <c r="AG168" s="1">
        <v>532</v>
      </c>
      <c r="AH168" s="1">
        <v>0</v>
      </c>
      <c r="AI168" s="1">
        <v>68</v>
      </c>
      <c r="AJ168" s="1">
        <v>0</v>
      </c>
      <c r="AK168" s="1">
        <v>151</v>
      </c>
      <c r="AL168" s="1">
        <v>0</v>
      </c>
      <c r="AM168" s="1">
        <v>568</v>
      </c>
      <c r="AN168" s="1">
        <v>327</v>
      </c>
      <c r="AO168" s="1">
        <v>354</v>
      </c>
      <c r="AP168" s="1">
        <v>0</v>
      </c>
      <c r="AQ168" s="1">
        <v>854</v>
      </c>
      <c r="AR168" s="1">
        <v>428</v>
      </c>
      <c r="AS168" s="1">
        <v>1365</v>
      </c>
      <c r="AT168" s="1">
        <v>415</v>
      </c>
      <c r="AU168" s="1">
        <v>687</v>
      </c>
      <c r="AV168" s="1">
        <v>116</v>
      </c>
      <c r="AW168" s="1">
        <v>513</v>
      </c>
      <c r="AX168" s="1">
        <v>1037</v>
      </c>
      <c r="AY168" s="1">
        <v>1140</v>
      </c>
      <c r="AZ168" s="1">
        <v>0</v>
      </c>
      <c r="BA168" s="1">
        <v>54</v>
      </c>
    </row>
    <row r="169" spans="1:53">
      <c r="A169" s="19">
        <v>45001</v>
      </c>
      <c r="B169" s="1">
        <v>2024</v>
      </c>
      <c r="C169" s="1">
        <v>15399</v>
      </c>
      <c r="D169" s="1">
        <v>0</v>
      </c>
      <c r="E169" s="1">
        <v>0</v>
      </c>
      <c r="F169" s="1">
        <v>41</v>
      </c>
      <c r="G169" s="1">
        <v>61</v>
      </c>
      <c r="H169" s="1">
        <v>350</v>
      </c>
      <c r="I169" s="1">
        <v>603</v>
      </c>
      <c r="J169" s="1">
        <v>174</v>
      </c>
      <c r="K169" s="1">
        <v>107</v>
      </c>
      <c r="L169" s="1">
        <v>0</v>
      </c>
      <c r="M169" s="1">
        <v>44</v>
      </c>
      <c r="N169" s="1">
        <v>0</v>
      </c>
      <c r="O169" s="1">
        <v>314</v>
      </c>
      <c r="P169" s="1">
        <v>0</v>
      </c>
      <c r="Q169" s="1">
        <v>222</v>
      </c>
      <c r="R169" s="1">
        <v>0</v>
      </c>
      <c r="S169" s="1">
        <v>722</v>
      </c>
      <c r="T169" s="1">
        <v>0</v>
      </c>
      <c r="U169" s="1">
        <v>392</v>
      </c>
      <c r="V169" s="1">
        <v>0</v>
      </c>
      <c r="W169" s="1">
        <v>171</v>
      </c>
      <c r="X169" s="1">
        <v>0</v>
      </c>
      <c r="Y169" s="1">
        <v>351</v>
      </c>
      <c r="Z169" s="1">
        <v>0</v>
      </c>
      <c r="AA169" s="1">
        <v>73</v>
      </c>
      <c r="AB169" s="1">
        <v>0</v>
      </c>
      <c r="AC169" s="1">
        <v>31</v>
      </c>
      <c r="AD169" s="1">
        <v>0</v>
      </c>
      <c r="AE169" s="1">
        <v>1072</v>
      </c>
      <c r="AF169" s="1">
        <v>0</v>
      </c>
      <c r="AG169" s="1">
        <v>811</v>
      </c>
      <c r="AH169" s="1">
        <v>0</v>
      </c>
      <c r="AI169" s="1">
        <v>91</v>
      </c>
      <c r="AJ169" s="1">
        <v>0</v>
      </c>
      <c r="AK169" s="1">
        <v>831</v>
      </c>
      <c r="AL169" s="1">
        <v>0</v>
      </c>
      <c r="AM169" s="1">
        <v>458</v>
      </c>
      <c r="AN169" s="1">
        <v>0</v>
      </c>
      <c r="AO169" s="1">
        <v>769</v>
      </c>
      <c r="AP169" s="1">
        <v>0</v>
      </c>
      <c r="AQ169" s="1">
        <v>457</v>
      </c>
      <c r="AR169" s="1">
        <v>0</v>
      </c>
      <c r="AS169" s="1">
        <v>906</v>
      </c>
      <c r="AT169" s="1">
        <v>0</v>
      </c>
      <c r="AU169" s="1">
        <v>4132</v>
      </c>
      <c r="AV169" s="1">
        <v>92</v>
      </c>
      <c r="AW169" s="1">
        <v>748</v>
      </c>
      <c r="AX169" s="1">
        <v>0</v>
      </c>
      <c r="AY169" s="1">
        <v>1356</v>
      </c>
      <c r="AZ169" s="1">
        <v>18</v>
      </c>
      <c r="BA169" s="1">
        <v>2</v>
      </c>
    </row>
    <row r="170" spans="1:53">
      <c r="A170" s="19">
        <v>46002</v>
      </c>
      <c r="B170" s="1">
        <v>2024</v>
      </c>
      <c r="C170" s="1">
        <v>21234</v>
      </c>
      <c r="D170" s="1">
        <v>0</v>
      </c>
      <c r="E170" s="1">
        <v>0</v>
      </c>
      <c r="F170" s="1">
        <v>206</v>
      </c>
      <c r="G170" s="1">
        <v>107</v>
      </c>
      <c r="H170" s="1">
        <v>911</v>
      </c>
      <c r="I170" s="1">
        <v>1508</v>
      </c>
      <c r="J170" s="1">
        <v>834</v>
      </c>
      <c r="K170" s="1">
        <v>128</v>
      </c>
      <c r="L170" s="1">
        <v>0</v>
      </c>
      <c r="M170" s="1">
        <v>0</v>
      </c>
      <c r="N170" s="1">
        <v>12</v>
      </c>
      <c r="O170" s="1">
        <v>303</v>
      </c>
      <c r="P170" s="1">
        <v>0</v>
      </c>
      <c r="Q170" s="1">
        <v>624</v>
      </c>
      <c r="R170" s="1">
        <v>0</v>
      </c>
      <c r="S170" s="1">
        <v>630</v>
      </c>
      <c r="T170" s="1">
        <v>0</v>
      </c>
      <c r="U170" s="1">
        <v>164</v>
      </c>
      <c r="V170" s="1">
        <v>0</v>
      </c>
      <c r="W170" s="1">
        <v>543</v>
      </c>
      <c r="X170" s="1">
        <v>86</v>
      </c>
      <c r="Y170" s="1">
        <v>1405</v>
      </c>
      <c r="Z170" s="1">
        <v>0</v>
      </c>
      <c r="AA170" s="1">
        <v>194</v>
      </c>
      <c r="AB170" s="1">
        <v>0</v>
      </c>
      <c r="AC170" s="1">
        <v>22</v>
      </c>
      <c r="AD170" s="1">
        <v>92</v>
      </c>
      <c r="AE170" s="1">
        <v>783</v>
      </c>
      <c r="AF170" s="1">
        <v>0</v>
      </c>
      <c r="AG170" s="1">
        <v>572</v>
      </c>
      <c r="AH170" s="1">
        <v>27</v>
      </c>
      <c r="AI170" s="1">
        <v>67</v>
      </c>
      <c r="AJ170" s="1">
        <v>0</v>
      </c>
      <c r="AK170" s="1">
        <v>1074</v>
      </c>
      <c r="AL170" s="1">
        <v>0</v>
      </c>
      <c r="AM170" s="1">
        <v>954</v>
      </c>
      <c r="AN170" s="1">
        <v>0</v>
      </c>
      <c r="AO170" s="1">
        <v>252</v>
      </c>
      <c r="AP170" s="1">
        <v>0</v>
      </c>
      <c r="AQ170" s="1">
        <v>585</v>
      </c>
      <c r="AR170" s="1">
        <v>0</v>
      </c>
      <c r="AS170" s="1">
        <v>768</v>
      </c>
      <c r="AT170" s="1">
        <v>0</v>
      </c>
      <c r="AU170" s="1">
        <v>5271</v>
      </c>
      <c r="AV170" s="1">
        <v>0</v>
      </c>
      <c r="AW170" s="1">
        <v>1137</v>
      </c>
      <c r="AX170" s="1">
        <v>0</v>
      </c>
      <c r="AY170" s="1">
        <v>1975</v>
      </c>
      <c r="AZ170" s="1">
        <v>0</v>
      </c>
      <c r="BA170" s="1">
        <v>0</v>
      </c>
    </row>
    <row r="171" spans="1:53">
      <c r="A171" s="19">
        <v>46003</v>
      </c>
      <c r="B171" s="1">
        <v>2024</v>
      </c>
      <c r="C171" s="1">
        <v>8022</v>
      </c>
      <c r="D171" s="1">
        <v>0</v>
      </c>
      <c r="E171" s="1">
        <v>0</v>
      </c>
      <c r="F171" s="1">
        <v>279</v>
      </c>
      <c r="G171" s="1">
        <v>86</v>
      </c>
      <c r="H171" s="1">
        <v>244</v>
      </c>
      <c r="I171" s="1">
        <v>420</v>
      </c>
      <c r="J171" s="1">
        <v>172</v>
      </c>
      <c r="K171" s="1">
        <v>0</v>
      </c>
      <c r="L171" s="1">
        <v>0</v>
      </c>
      <c r="M171" s="1">
        <v>0</v>
      </c>
      <c r="N171" s="1">
        <v>0</v>
      </c>
      <c r="O171" s="1">
        <v>91</v>
      </c>
      <c r="P171" s="1">
        <v>0</v>
      </c>
      <c r="Q171" s="1">
        <v>0</v>
      </c>
      <c r="R171" s="1">
        <v>0</v>
      </c>
      <c r="S171" s="1">
        <v>30</v>
      </c>
      <c r="T171" s="1">
        <v>0</v>
      </c>
      <c r="U171" s="1">
        <v>582</v>
      </c>
      <c r="V171" s="1">
        <v>0</v>
      </c>
      <c r="W171" s="1">
        <v>341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570</v>
      </c>
      <c r="AF171" s="1">
        <v>0</v>
      </c>
      <c r="AG171" s="1">
        <v>120</v>
      </c>
      <c r="AH171" s="1">
        <v>0</v>
      </c>
      <c r="AI171" s="1">
        <v>0</v>
      </c>
      <c r="AJ171" s="1">
        <v>88</v>
      </c>
      <c r="AK171" s="1">
        <v>262</v>
      </c>
      <c r="AL171" s="1">
        <v>0</v>
      </c>
      <c r="AM171" s="1">
        <v>0</v>
      </c>
      <c r="AN171" s="1">
        <v>0</v>
      </c>
      <c r="AO171" s="1">
        <v>684</v>
      </c>
      <c r="AP171" s="1">
        <v>0</v>
      </c>
      <c r="AQ171" s="1">
        <v>198</v>
      </c>
      <c r="AR171" s="1">
        <v>0</v>
      </c>
      <c r="AS171" s="1">
        <v>376</v>
      </c>
      <c r="AT171" s="1">
        <v>0</v>
      </c>
      <c r="AU171" s="1">
        <v>2274</v>
      </c>
      <c r="AV171" s="1">
        <v>0</v>
      </c>
      <c r="AW171" s="1">
        <v>224</v>
      </c>
      <c r="AX171" s="1">
        <v>0</v>
      </c>
      <c r="AY171" s="1">
        <v>981</v>
      </c>
      <c r="AZ171" s="1">
        <v>0</v>
      </c>
      <c r="BA171" s="1">
        <v>0</v>
      </c>
    </row>
    <row r="172" spans="1:53">
      <c r="A172" s="19">
        <v>46004</v>
      </c>
      <c r="B172" s="1">
        <v>2024</v>
      </c>
      <c r="C172" s="1">
        <v>8896</v>
      </c>
      <c r="D172" s="1">
        <v>0</v>
      </c>
      <c r="E172" s="1">
        <v>0</v>
      </c>
      <c r="F172" s="1">
        <v>19</v>
      </c>
      <c r="G172" s="1">
        <v>124</v>
      </c>
      <c r="H172" s="1">
        <v>384</v>
      </c>
      <c r="I172" s="1">
        <v>923</v>
      </c>
      <c r="J172" s="1">
        <v>205</v>
      </c>
      <c r="K172" s="1">
        <v>121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55</v>
      </c>
      <c r="T172" s="1">
        <v>0</v>
      </c>
      <c r="U172" s="1">
        <v>21</v>
      </c>
      <c r="V172" s="1">
        <v>0</v>
      </c>
      <c r="W172" s="1">
        <v>137</v>
      </c>
      <c r="X172" s="1">
        <v>0</v>
      </c>
      <c r="Y172" s="1">
        <v>7</v>
      </c>
      <c r="Z172" s="1">
        <v>0</v>
      </c>
      <c r="AA172" s="1">
        <v>51</v>
      </c>
      <c r="AB172" s="1">
        <v>0</v>
      </c>
      <c r="AC172" s="1">
        <v>10</v>
      </c>
      <c r="AD172" s="1">
        <v>0</v>
      </c>
      <c r="AE172" s="1">
        <v>294</v>
      </c>
      <c r="AF172" s="1">
        <v>0</v>
      </c>
      <c r="AG172" s="1">
        <v>339</v>
      </c>
      <c r="AH172" s="1">
        <v>0</v>
      </c>
      <c r="AI172" s="1">
        <v>0</v>
      </c>
      <c r="AJ172" s="1">
        <v>0</v>
      </c>
      <c r="AK172" s="1">
        <v>79</v>
      </c>
      <c r="AL172" s="1">
        <v>0</v>
      </c>
      <c r="AM172" s="1">
        <v>334</v>
      </c>
      <c r="AN172" s="1">
        <v>0</v>
      </c>
      <c r="AO172" s="1">
        <v>99</v>
      </c>
      <c r="AP172" s="1">
        <v>0</v>
      </c>
      <c r="AQ172" s="1">
        <v>424</v>
      </c>
      <c r="AR172" s="1">
        <v>0</v>
      </c>
      <c r="AS172" s="1">
        <v>1540</v>
      </c>
      <c r="AT172" s="1">
        <v>0</v>
      </c>
      <c r="AU172" s="1">
        <v>1193</v>
      </c>
      <c r="AV172" s="1">
        <v>0</v>
      </c>
      <c r="AW172" s="1">
        <v>1098</v>
      </c>
      <c r="AX172" s="1">
        <v>0</v>
      </c>
      <c r="AY172" s="1">
        <v>1439</v>
      </c>
      <c r="AZ172" s="1">
        <v>0</v>
      </c>
      <c r="BA172" s="1">
        <v>0</v>
      </c>
    </row>
    <row r="173" spans="1:53">
      <c r="A173" s="19">
        <v>47002</v>
      </c>
      <c r="B173" s="1">
        <v>2024</v>
      </c>
      <c r="C173" s="1">
        <v>17501</v>
      </c>
      <c r="D173" s="1">
        <v>0</v>
      </c>
      <c r="E173" s="1">
        <v>0</v>
      </c>
      <c r="F173" s="1">
        <v>312</v>
      </c>
      <c r="G173" s="1">
        <v>197</v>
      </c>
      <c r="H173" s="1">
        <v>1402</v>
      </c>
      <c r="I173" s="1">
        <v>735</v>
      </c>
      <c r="J173" s="1">
        <v>328</v>
      </c>
      <c r="K173" s="1">
        <v>208</v>
      </c>
      <c r="L173" s="1">
        <v>0</v>
      </c>
      <c r="M173" s="1">
        <v>27</v>
      </c>
      <c r="N173" s="1">
        <v>0</v>
      </c>
      <c r="O173" s="1">
        <v>459</v>
      </c>
      <c r="P173" s="1">
        <v>0</v>
      </c>
      <c r="Q173" s="1">
        <v>0</v>
      </c>
      <c r="R173" s="1">
        <v>0</v>
      </c>
      <c r="S173" s="1">
        <v>84</v>
      </c>
      <c r="T173" s="1">
        <v>0</v>
      </c>
      <c r="U173" s="1">
        <v>258</v>
      </c>
      <c r="V173" s="1">
        <v>0</v>
      </c>
      <c r="W173" s="1">
        <v>814</v>
      </c>
      <c r="X173" s="1">
        <v>0</v>
      </c>
      <c r="Y173" s="1">
        <v>688</v>
      </c>
      <c r="Z173" s="1">
        <v>110</v>
      </c>
      <c r="AA173" s="1">
        <v>204</v>
      </c>
      <c r="AB173" s="1">
        <v>0</v>
      </c>
      <c r="AC173" s="1">
        <v>15</v>
      </c>
      <c r="AD173" s="1">
        <v>0</v>
      </c>
      <c r="AE173" s="1">
        <v>1409</v>
      </c>
      <c r="AF173" s="1">
        <v>91</v>
      </c>
      <c r="AG173" s="1">
        <v>427</v>
      </c>
      <c r="AH173" s="1">
        <v>103</v>
      </c>
      <c r="AI173" s="1">
        <v>61</v>
      </c>
      <c r="AJ173" s="1">
        <v>0</v>
      </c>
      <c r="AK173" s="1">
        <v>366</v>
      </c>
      <c r="AL173" s="1">
        <v>0</v>
      </c>
      <c r="AM173" s="1">
        <v>21</v>
      </c>
      <c r="AN173" s="1">
        <v>0</v>
      </c>
      <c r="AO173" s="1">
        <v>298</v>
      </c>
      <c r="AP173" s="1">
        <v>0</v>
      </c>
      <c r="AQ173" s="1">
        <v>308</v>
      </c>
      <c r="AR173" s="1">
        <v>0</v>
      </c>
      <c r="AS173" s="1">
        <v>4134</v>
      </c>
      <c r="AT173" s="1">
        <v>0</v>
      </c>
      <c r="AU173" s="1">
        <v>905</v>
      </c>
      <c r="AV173" s="1">
        <v>0</v>
      </c>
      <c r="AW173" s="1">
        <v>1149</v>
      </c>
      <c r="AX173" s="1">
        <v>0</v>
      </c>
      <c r="AY173" s="1">
        <v>1775</v>
      </c>
      <c r="AZ173" s="1">
        <v>0</v>
      </c>
      <c r="BA173" s="1">
        <v>613</v>
      </c>
    </row>
    <row r="174" spans="1:53">
      <c r="A174" s="19">
        <v>47003</v>
      </c>
      <c r="B174" s="1">
        <v>2024</v>
      </c>
      <c r="C174" s="1">
        <v>16747</v>
      </c>
      <c r="D174" s="1">
        <v>0</v>
      </c>
      <c r="E174" s="1">
        <v>0</v>
      </c>
      <c r="F174" s="1">
        <v>589</v>
      </c>
      <c r="G174" s="1">
        <v>152</v>
      </c>
      <c r="H174" s="1">
        <v>675</v>
      </c>
      <c r="I174" s="1">
        <v>759</v>
      </c>
      <c r="J174" s="1">
        <v>531</v>
      </c>
      <c r="K174" s="1">
        <v>55</v>
      </c>
      <c r="L174" s="1">
        <v>0</v>
      </c>
      <c r="M174" s="1">
        <v>38</v>
      </c>
      <c r="N174" s="1">
        <v>62</v>
      </c>
      <c r="O174" s="1">
        <v>1</v>
      </c>
      <c r="P174" s="1">
        <v>0</v>
      </c>
      <c r="Q174" s="1">
        <v>41</v>
      </c>
      <c r="R174" s="1">
        <v>0</v>
      </c>
      <c r="S174" s="1">
        <v>17</v>
      </c>
      <c r="T174" s="1">
        <v>87</v>
      </c>
      <c r="U174" s="1">
        <v>523</v>
      </c>
      <c r="V174" s="1">
        <v>0</v>
      </c>
      <c r="W174" s="1">
        <v>69</v>
      </c>
      <c r="X174" s="1">
        <v>0</v>
      </c>
      <c r="Y174" s="1">
        <v>335</v>
      </c>
      <c r="Z174" s="1">
        <v>0</v>
      </c>
      <c r="AA174" s="1">
        <v>255</v>
      </c>
      <c r="AB174" s="1">
        <v>0</v>
      </c>
      <c r="AC174" s="1">
        <v>181</v>
      </c>
      <c r="AD174" s="1">
        <v>0</v>
      </c>
      <c r="AE174" s="1">
        <v>535</v>
      </c>
      <c r="AF174" s="1">
        <v>0</v>
      </c>
      <c r="AG174" s="1">
        <v>859</v>
      </c>
      <c r="AH174" s="1">
        <v>0</v>
      </c>
      <c r="AI174" s="1">
        <v>55</v>
      </c>
      <c r="AJ174" s="1">
        <v>0</v>
      </c>
      <c r="AK174" s="1">
        <v>20</v>
      </c>
      <c r="AL174" s="1">
        <v>0</v>
      </c>
      <c r="AM174" s="1">
        <v>857</v>
      </c>
      <c r="AN174" s="1">
        <v>0</v>
      </c>
      <c r="AO174" s="1">
        <v>730</v>
      </c>
      <c r="AP174" s="1">
        <v>0</v>
      </c>
      <c r="AQ174" s="1">
        <v>2501</v>
      </c>
      <c r="AR174" s="1">
        <v>0</v>
      </c>
      <c r="AS174" s="1">
        <v>2310</v>
      </c>
      <c r="AT174" s="1">
        <v>0</v>
      </c>
      <c r="AU174" s="1">
        <v>2552</v>
      </c>
      <c r="AV174" s="1">
        <v>0</v>
      </c>
      <c r="AW174" s="1">
        <v>706</v>
      </c>
      <c r="AX174" s="1">
        <v>0</v>
      </c>
      <c r="AY174" s="1">
        <v>1252</v>
      </c>
      <c r="AZ174" s="1">
        <v>0</v>
      </c>
      <c r="BA174" s="1">
        <v>0</v>
      </c>
    </row>
    <row r="175" spans="1:53">
      <c r="A175" s="19">
        <v>47005</v>
      </c>
      <c r="B175" s="1">
        <v>2024</v>
      </c>
      <c r="C175" s="1">
        <v>14815</v>
      </c>
      <c r="D175" s="1">
        <v>0</v>
      </c>
      <c r="E175" s="1">
        <v>0</v>
      </c>
      <c r="F175" s="1">
        <v>60</v>
      </c>
      <c r="G175" s="1">
        <v>52</v>
      </c>
      <c r="H175" s="1">
        <v>496</v>
      </c>
      <c r="I175" s="1">
        <v>809</v>
      </c>
      <c r="J175" s="1">
        <v>205</v>
      </c>
      <c r="K175" s="1">
        <v>95</v>
      </c>
      <c r="L175" s="1">
        <v>0</v>
      </c>
      <c r="M175" s="1">
        <v>0</v>
      </c>
      <c r="N175" s="1">
        <v>0</v>
      </c>
      <c r="O175" s="1">
        <v>145</v>
      </c>
      <c r="P175" s="1">
        <v>71</v>
      </c>
      <c r="Q175" s="1">
        <v>514</v>
      </c>
      <c r="R175" s="1">
        <v>0</v>
      </c>
      <c r="S175" s="1">
        <v>157</v>
      </c>
      <c r="T175" s="1">
        <v>0</v>
      </c>
      <c r="U175" s="1">
        <v>5</v>
      </c>
      <c r="V175" s="1">
        <v>0</v>
      </c>
      <c r="W175" s="1">
        <v>10</v>
      </c>
      <c r="X175" s="1">
        <v>22</v>
      </c>
      <c r="Y175" s="1">
        <v>375</v>
      </c>
      <c r="Z175" s="1">
        <v>0</v>
      </c>
      <c r="AA175" s="1">
        <v>276</v>
      </c>
      <c r="AB175" s="1">
        <v>0</v>
      </c>
      <c r="AC175" s="1">
        <v>0</v>
      </c>
      <c r="AD175" s="1">
        <v>0</v>
      </c>
      <c r="AE175" s="1">
        <v>166</v>
      </c>
      <c r="AF175" s="1">
        <v>91</v>
      </c>
      <c r="AG175" s="1">
        <v>2313</v>
      </c>
      <c r="AH175" s="1">
        <v>0</v>
      </c>
      <c r="AI175" s="1">
        <v>92</v>
      </c>
      <c r="AJ175" s="1">
        <v>113</v>
      </c>
      <c r="AK175" s="1">
        <v>395</v>
      </c>
      <c r="AL175" s="1">
        <v>0</v>
      </c>
      <c r="AM175" s="1">
        <v>238</v>
      </c>
      <c r="AN175" s="1">
        <v>0</v>
      </c>
      <c r="AO175" s="1">
        <v>1416</v>
      </c>
      <c r="AP175" s="1">
        <v>0</v>
      </c>
      <c r="AQ175" s="1">
        <v>193</v>
      </c>
      <c r="AR175" s="1">
        <v>0</v>
      </c>
      <c r="AS175" s="1">
        <v>598</v>
      </c>
      <c r="AT175" s="1">
        <v>0</v>
      </c>
      <c r="AU175" s="1">
        <v>3357</v>
      </c>
      <c r="AV175" s="1">
        <v>0</v>
      </c>
      <c r="AW175" s="1">
        <v>1127</v>
      </c>
      <c r="AX175" s="1">
        <v>0</v>
      </c>
      <c r="AY175" s="1">
        <v>1388</v>
      </c>
      <c r="AZ175" s="1">
        <v>0</v>
      </c>
      <c r="BA175" s="1">
        <v>36</v>
      </c>
    </row>
    <row r="176" spans="1:53">
      <c r="A176" s="19">
        <v>48001</v>
      </c>
      <c r="B176" s="1">
        <v>2024</v>
      </c>
      <c r="C176" s="1">
        <v>21983</v>
      </c>
      <c r="D176" s="1">
        <v>0</v>
      </c>
      <c r="E176" s="1">
        <v>0</v>
      </c>
      <c r="F176" s="1">
        <v>15</v>
      </c>
      <c r="G176" s="1">
        <v>155</v>
      </c>
      <c r="H176" s="1">
        <v>2218</v>
      </c>
      <c r="I176" s="1">
        <v>1043</v>
      </c>
      <c r="J176" s="1">
        <v>550</v>
      </c>
      <c r="K176" s="1">
        <v>330</v>
      </c>
      <c r="L176" s="1">
        <v>0</v>
      </c>
      <c r="M176" s="1">
        <v>212</v>
      </c>
      <c r="N176" s="1">
        <v>0</v>
      </c>
      <c r="O176" s="1">
        <v>141</v>
      </c>
      <c r="P176" s="1">
        <v>30</v>
      </c>
      <c r="Q176" s="1">
        <v>408</v>
      </c>
      <c r="R176" s="1">
        <v>0</v>
      </c>
      <c r="S176" s="1">
        <v>469</v>
      </c>
      <c r="T176" s="1">
        <v>0</v>
      </c>
      <c r="U176" s="1">
        <v>284</v>
      </c>
      <c r="V176" s="1">
        <v>0</v>
      </c>
      <c r="W176" s="1">
        <v>1103</v>
      </c>
      <c r="X176" s="1">
        <v>14</v>
      </c>
      <c r="Y176" s="1">
        <v>328</v>
      </c>
      <c r="Z176" s="1">
        <v>0</v>
      </c>
      <c r="AA176" s="1">
        <v>41</v>
      </c>
      <c r="AB176" s="1">
        <v>0</v>
      </c>
      <c r="AC176" s="1">
        <v>508</v>
      </c>
      <c r="AD176" s="1">
        <v>52</v>
      </c>
      <c r="AE176" s="1">
        <v>1322</v>
      </c>
      <c r="AF176" s="1">
        <v>0</v>
      </c>
      <c r="AG176" s="1">
        <v>675</v>
      </c>
      <c r="AH176" s="1">
        <v>61</v>
      </c>
      <c r="AI176" s="1">
        <v>163</v>
      </c>
      <c r="AJ176" s="1">
        <v>0</v>
      </c>
      <c r="AK176" s="1">
        <v>193</v>
      </c>
      <c r="AL176" s="1">
        <v>92</v>
      </c>
      <c r="AM176" s="1">
        <v>703</v>
      </c>
      <c r="AN176" s="1">
        <v>0</v>
      </c>
      <c r="AO176" s="1">
        <v>817</v>
      </c>
      <c r="AP176" s="1">
        <v>0</v>
      </c>
      <c r="AQ176" s="1">
        <v>91</v>
      </c>
      <c r="AR176" s="1">
        <v>0</v>
      </c>
      <c r="AS176" s="1">
        <v>3319</v>
      </c>
      <c r="AT176" s="1">
        <v>31</v>
      </c>
      <c r="AU176" s="1">
        <v>3138</v>
      </c>
      <c r="AV176" s="1">
        <v>0</v>
      </c>
      <c r="AW176" s="1">
        <v>1226</v>
      </c>
      <c r="AX176" s="1">
        <v>0</v>
      </c>
      <c r="AY176" s="1">
        <v>2209</v>
      </c>
      <c r="AZ176" s="1">
        <v>0</v>
      </c>
      <c r="BA176" s="1">
        <v>42</v>
      </c>
    </row>
    <row r="177" spans="1:53">
      <c r="A177" s="19">
        <v>48002</v>
      </c>
      <c r="B177" s="1">
        <v>2024</v>
      </c>
      <c r="C177" s="1">
        <v>26651</v>
      </c>
      <c r="D177" s="1">
        <v>0</v>
      </c>
      <c r="E177" s="1">
        <v>0</v>
      </c>
      <c r="F177" s="1">
        <v>34</v>
      </c>
      <c r="G177" s="1">
        <v>0</v>
      </c>
      <c r="H177" s="1">
        <v>2453</v>
      </c>
      <c r="I177" s="1">
        <v>2858</v>
      </c>
      <c r="J177" s="1">
        <v>1244</v>
      </c>
      <c r="K177" s="1">
        <v>810</v>
      </c>
      <c r="L177" s="1">
        <v>1</v>
      </c>
      <c r="M177" s="1">
        <v>223</v>
      </c>
      <c r="N177" s="1">
        <v>380</v>
      </c>
      <c r="O177" s="1">
        <v>650</v>
      </c>
      <c r="P177" s="1">
        <v>18</v>
      </c>
      <c r="Q177" s="1">
        <v>417</v>
      </c>
      <c r="R177" s="1">
        <v>0</v>
      </c>
      <c r="S177" s="1">
        <v>576</v>
      </c>
      <c r="T177" s="1">
        <v>0</v>
      </c>
      <c r="U177" s="1">
        <v>493</v>
      </c>
      <c r="V177" s="1">
        <v>206</v>
      </c>
      <c r="W177" s="1">
        <v>783</v>
      </c>
      <c r="X177" s="1">
        <v>9</v>
      </c>
      <c r="Y177" s="1">
        <v>1</v>
      </c>
      <c r="Z177" s="1">
        <v>0</v>
      </c>
      <c r="AA177" s="1">
        <v>259</v>
      </c>
      <c r="AB177" s="1">
        <v>124</v>
      </c>
      <c r="AC177" s="1">
        <v>0</v>
      </c>
      <c r="AD177" s="1">
        <v>99</v>
      </c>
      <c r="AE177" s="1">
        <v>1242</v>
      </c>
      <c r="AF177" s="1">
        <v>263</v>
      </c>
      <c r="AG177" s="1">
        <v>543</v>
      </c>
      <c r="AH177" s="1">
        <v>0</v>
      </c>
      <c r="AI177" s="1">
        <v>511</v>
      </c>
      <c r="AJ177" s="1">
        <v>11</v>
      </c>
      <c r="AK177" s="1">
        <v>457</v>
      </c>
      <c r="AL177" s="1">
        <v>0</v>
      </c>
      <c r="AM177" s="1">
        <v>1079</v>
      </c>
      <c r="AN177" s="1">
        <v>0</v>
      </c>
      <c r="AO177" s="1">
        <v>986</v>
      </c>
      <c r="AP177" s="1">
        <v>0</v>
      </c>
      <c r="AQ177" s="1">
        <v>804</v>
      </c>
      <c r="AR177" s="1">
        <v>0</v>
      </c>
      <c r="AS177" s="1">
        <v>2040</v>
      </c>
      <c r="AT177" s="1">
        <v>0</v>
      </c>
      <c r="AU177" s="1">
        <v>1984</v>
      </c>
      <c r="AV177" s="1">
        <v>0</v>
      </c>
      <c r="AW177" s="1">
        <v>1641</v>
      </c>
      <c r="AX177" s="1">
        <v>0</v>
      </c>
      <c r="AY177" s="1">
        <v>2838</v>
      </c>
      <c r="AZ177" s="1">
        <v>0</v>
      </c>
      <c r="BA177" s="1">
        <v>614</v>
      </c>
    </row>
    <row r="178" spans="1:53">
      <c r="A178" s="19">
        <v>48003</v>
      </c>
      <c r="B178" s="1">
        <v>2024</v>
      </c>
      <c r="C178" s="1">
        <v>13207</v>
      </c>
      <c r="D178" s="1">
        <v>0</v>
      </c>
      <c r="E178" s="1">
        <v>0</v>
      </c>
      <c r="F178" s="1">
        <v>97</v>
      </c>
      <c r="G178" s="1">
        <v>0</v>
      </c>
      <c r="H178" s="1">
        <v>83</v>
      </c>
      <c r="I178" s="1">
        <v>15</v>
      </c>
      <c r="J178" s="1">
        <v>16</v>
      </c>
      <c r="K178" s="1">
        <v>16</v>
      </c>
      <c r="L178" s="1">
        <v>0</v>
      </c>
      <c r="M178" s="1">
        <v>0</v>
      </c>
      <c r="N178" s="1">
        <v>0</v>
      </c>
      <c r="O178" s="1">
        <v>92</v>
      </c>
      <c r="P178" s="1">
        <v>0</v>
      </c>
      <c r="Q178" s="1">
        <v>0</v>
      </c>
      <c r="R178" s="1">
        <v>0</v>
      </c>
      <c r="S178" s="1">
        <v>20</v>
      </c>
      <c r="T178" s="1">
        <v>0</v>
      </c>
      <c r="U178" s="1">
        <v>499</v>
      </c>
      <c r="V178" s="1">
        <v>0</v>
      </c>
      <c r="W178" s="1">
        <v>493</v>
      </c>
      <c r="X178" s="1">
        <v>31</v>
      </c>
      <c r="Y178" s="1">
        <v>422</v>
      </c>
      <c r="Z178" s="1">
        <v>0</v>
      </c>
      <c r="AA178" s="1">
        <v>131</v>
      </c>
      <c r="AB178" s="1">
        <v>0</v>
      </c>
      <c r="AC178" s="1">
        <v>171</v>
      </c>
      <c r="AD178" s="1">
        <v>0</v>
      </c>
      <c r="AE178" s="1">
        <v>1011</v>
      </c>
      <c r="AF178" s="1">
        <v>112</v>
      </c>
      <c r="AG178" s="1">
        <v>893</v>
      </c>
      <c r="AH178" s="1">
        <v>0</v>
      </c>
      <c r="AI178" s="1">
        <v>287</v>
      </c>
      <c r="AJ178" s="1">
        <v>0</v>
      </c>
      <c r="AK178" s="1">
        <v>343</v>
      </c>
      <c r="AL178" s="1">
        <v>0</v>
      </c>
      <c r="AM178" s="1">
        <v>1027</v>
      </c>
      <c r="AN178" s="1">
        <v>0</v>
      </c>
      <c r="AO178" s="1">
        <v>831</v>
      </c>
      <c r="AP178" s="1">
        <v>0</v>
      </c>
      <c r="AQ178" s="1">
        <v>1300</v>
      </c>
      <c r="AR178" s="1">
        <v>0</v>
      </c>
      <c r="AS178" s="1">
        <v>857</v>
      </c>
      <c r="AT178" s="1">
        <v>0</v>
      </c>
      <c r="AU178" s="1">
        <v>3064</v>
      </c>
      <c r="AV178" s="1">
        <v>0</v>
      </c>
      <c r="AW178" s="1">
        <v>212</v>
      </c>
      <c r="AX178" s="1">
        <v>0</v>
      </c>
      <c r="AY178" s="1">
        <v>1140</v>
      </c>
      <c r="AZ178" s="1">
        <v>0</v>
      </c>
      <c r="BA178" s="1">
        <v>44</v>
      </c>
    </row>
    <row r="179" spans="1:53">
      <c r="A179" s="19">
        <v>49001</v>
      </c>
      <c r="B179" s="1">
        <v>2024</v>
      </c>
      <c r="C179" s="1">
        <v>20455</v>
      </c>
      <c r="D179" s="1">
        <v>0</v>
      </c>
      <c r="E179" s="1">
        <v>0</v>
      </c>
      <c r="F179" s="1">
        <v>61</v>
      </c>
      <c r="G179" s="1">
        <v>93</v>
      </c>
      <c r="H179" s="1">
        <v>1177</v>
      </c>
      <c r="I179" s="1">
        <v>821</v>
      </c>
      <c r="J179" s="1">
        <v>474</v>
      </c>
      <c r="K179" s="1">
        <v>517</v>
      </c>
      <c r="L179" s="1">
        <v>0</v>
      </c>
      <c r="M179" s="1">
        <v>89</v>
      </c>
      <c r="N179" s="1">
        <v>0</v>
      </c>
      <c r="O179" s="1">
        <v>30</v>
      </c>
      <c r="P179" s="1">
        <v>0</v>
      </c>
      <c r="Q179" s="1">
        <v>336</v>
      </c>
      <c r="R179" s="1">
        <v>0</v>
      </c>
      <c r="S179" s="1">
        <v>0</v>
      </c>
      <c r="T179" s="1">
        <v>0</v>
      </c>
      <c r="U179" s="1">
        <v>652</v>
      </c>
      <c r="V179" s="1">
        <v>0</v>
      </c>
      <c r="W179" s="1">
        <v>517</v>
      </c>
      <c r="X179" s="1">
        <v>0</v>
      </c>
      <c r="Y179" s="1">
        <v>1587</v>
      </c>
      <c r="Z179" s="1">
        <v>76</v>
      </c>
      <c r="AA179" s="1">
        <v>415</v>
      </c>
      <c r="AB179" s="1">
        <v>0</v>
      </c>
      <c r="AC179" s="1">
        <v>93</v>
      </c>
      <c r="AD179" s="1">
        <v>0</v>
      </c>
      <c r="AE179" s="1">
        <v>19</v>
      </c>
      <c r="AF179" s="1">
        <v>90</v>
      </c>
      <c r="AG179" s="1">
        <v>571</v>
      </c>
      <c r="AH179" s="1">
        <v>0</v>
      </c>
      <c r="AI179" s="1">
        <v>180</v>
      </c>
      <c r="AJ179" s="1">
        <v>0</v>
      </c>
      <c r="AK179" s="1">
        <v>682</v>
      </c>
      <c r="AL179" s="1">
        <v>0</v>
      </c>
      <c r="AM179" s="1">
        <v>1063</v>
      </c>
      <c r="AN179" s="1">
        <v>0</v>
      </c>
      <c r="AO179" s="1">
        <v>1566</v>
      </c>
      <c r="AP179" s="1">
        <v>0</v>
      </c>
      <c r="AQ179" s="1">
        <v>666</v>
      </c>
      <c r="AR179" s="1">
        <v>0</v>
      </c>
      <c r="AS179" s="1">
        <v>992</v>
      </c>
      <c r="AT179" s="1">
        <v>0</v>
      </c>
      <c r="AU179" s="1">
        <v>3078</v>
      </c>
      <c r="AV179" s="1">
        <v>0</v>
      </c>
      <c r="AW179" s="1">
        <v>1377</v>
      </c>
      <c r="AX179" s="1">
        <v>0</v>
      </c>
      <c r="AY179" s="1">
        <v>3233</v>
      </c>
      <c r="AZ179" s="1">
        <v>0</v>
      </c>
      <c r="BA179" s="1">
        <v>0</v>
      </c>
    </row>
    <row r="180" spans="1:53">
      <c r="A180" s="19">
        <v>49002</v>
      </c>
      <c r="B180" s="1">
        <v>2024</v>
      </c>
      <c r="C180" s="1">
        <v>28647</v>
      </c>
      <c r="D180" s="1">
        <v>0</v>
      </c>
      <c r="E180" s="1">
        <v>0</v>
      </c>
      <c r="F180" s="1">
        <v>852</v>
      </c>
      <c r="G180" s="1">
        <v>187</v>
      </c>
      <c r="H180" s="1">
        <v>876</v>
      </c>
      <c r="I180" s="1">
        <v>1218</v>
      </c>
      <c r="J180" s="1">
        <v>480</v>
      </c>
      <c r="K180" s="1">
        <v>64</v>
      </c>
      <c r="L180" s="1">
        <v>0</v>
      </c>
      <c r="M180" s="1">
        <v>511</v>
      </c>
      <c r="N180" s="1">
        <v>0</v>
      </c>
      <c r="O180" s="1">
        <v>514</v>
      </c>
      <c r="P180" s="1">
        <v>0</v>
      </c>
      <c r="Q180" s="1">
        <v>376</v>
      </c>
      <c r="R180" s="1">
        <v>30</v>
      </c>
      <c r="S180" s="1">
        <v>229</v>
      </c>
      <c r="T180" s="1">
        <v>13</v>
      </c>
      <c r="U180" s="1">
        <v>460</v>
      </c>
      <c r="V180" s="1">
        <v>0</v>
      </c>
      <c r="W180" s="1">
        <v>676</v>
      </c>
      <c r="X180" s="1">
        <v>0</v>
      </c>
      <c r="Y180" s="1">
        <v>2191</v>
      </c>
      <c r="Z180" s="1">
        <v>0</v>
      </c>
      <c r="AA180" s="1">
        <v>320</v>
      </c>
      <c r="AB180" s="1">
        <v>15</v>
      </c>
      <c r="AC180" s="1">
        <v>0</v>
      </c>
      <c r="AD180" s="1">
        <v>0</v>
      </c>
      <c r="AE180" s="1">
        <v>1260</v>
      </c>
      <c r="AF180" s="1">
        <v>0</v>
      </c>
      <c r="AG180" s="1">
        <v>2451</v>
      </c>
      <c r="AH180" s="1">
        <v>0</v>
      </c>
      <c r="AI180" s="1">
        <v>184</v>
      </c>
      <c r="AJ180" s="1">
        <v>0</v>
      </c>
      <c r="AK180" s="1">
        <v>999</v>
      </c>
      <c r="AL180" s="1">
        <v>0</v>
      </c>
      <c r="AM180" s="1">
        <v>842</v>
      </c>
      <c r="AN180" s="1">
        <v>0</v>
      </c>
      <c r="AO180" s="1">
        <v>221</v>
      </c>
      <c r="AP180" s="1">
        <v>0</v>
      </c>
      <c r="AQ180" s="1">
        <v>1028</v>
      </c>
      <c r="AR180" s="1">
        <v>0</v>
      </c>
      <c r="AS180" s="1">
        <v>1631</v>
      </c>
      <c r="AT180" s="1">
        <v>0</v>
      </c>
      <c r="AU180" s="1">
        <v>5896</v>
      </c>
      <c r="AV180" s="1">
        <v>0</v>
      </c>
      <c r="AW180" s="1">
        <v>1985</v>
      </c>
      <c r="AX180" s="1">
        <v>0</v>
      </c>
      <c r="AY180" s="1">
        <v>3137</v>
      </c>
      <c r="AZ180" s="1">
        <v>0</v>
      </c>
      <c r="BA180" s="1">
        <v>1</v>
      </c>
    </row>
    <row r="181" spans="1:53">
      <c r="A181" s="19">
        <v>49003</v>
      </c>
      <c r="B181" s="1">
        <v>2024</v>
      </c>
      <c r="C181" s="1">
        <v>15291</v>
      </c>
      <c r="D181" s="1">
        <v>0</v>
      </c>
      <c r="E181" s="1">
        <v>0</v>
      </c>
      <c r="F181" s="1">
        <v>0</v>
      </c>
      <c r="G181" s="1">
        <v>97</v>
      </c>
      <c r="H181" s="1">
        <v>934</v>
      </c>
      <c r="I181" s="1">
        <v>510</v>
      </c>
      <c r="J181" s="1">
        <v>216</v>
      </c>
      <c r="K181" s="1">
        <v>148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79</v>
      </c>
      <c r="R181" s="1">
        <v>0</v>
      </c>
      <c r="S181" s="1">
        <v>0</v>
      </c>
      <c r="T181" s="1">
        <v>0</v>
      </c>
      <c r="U181" s="1">
        <v>427</v>
      </c>
      <c r="V181" s="1">
        <v>0</v>
      </c>
      <c r="W181" s="1">
        <v>676</v>
      </c>
      <c r="X181" s="1">
        <v>0</v>
      </c>
      <c r="Y181" s="1">
        <v>524</v>
      </c>
      <c r="Z181" s="1">
        <v>0</v>
      </c>
      <c r="AA181" s="1">
        <v>120</v>
      </c>
      <c r="AB181" s="1">
        <v>0</v>
      </c>
      <c r="AC181" s="1">
        <v>4</v>
      </c>
      <c r="AD181" s="1">
        <v>0</v>
      </c>
      <c r="AE181" s="1">
        <v>1241</v>
      </c>
      <c r="AF181" s="1">
        <v>0</v>
      </c>
      <c r="AG181" s="1">
        <v>595</v>
      </c>
      <c r="AH181" s="1">
        <v>92</v>
      </c>
      <c r="AI181" s="1">
        <v>123</v>
      </c>
      <c r="AJ181" s="1">
        <v>0</v>
      </c>
      <c r="AK181" s="1">
        <v>390</v>
      </c>
      <c r="AL181" s="1">
        <v>0</v>
      </c>
      <c r="AM181" s="1">
        <v>374</v>
      </c>
      <c r="AN181" s="1">
        <v>0</v>
      </c>
      <c r="AO181" s="1">
        <v>916</v>
      </c>
      <c r="AP181" s="1">
        <v>0</v>
      </c>
      <c r="AQ181" s="1">
        <v>505</v>
      </c>
      <c r="AR181" s="1">
        <v>0</v>
      </c>
      <c r="AS181" s="1">
        <v>2542</v>
      </c>
      <c r="AT181" s="1">
        <v>0</v>
      </c>
      <c r="AU181" s="1">
        <v>1946</v>
      </c>
      <c r="AV181" s="1">
        <v>0</v>
      </c>
      <c r="AW181" s="1">
        <v>358</v>
      </c>
      <c r="AX181" s="1">
        <v>0</v>
      </c>
      <c r="AY181" s="1">
        <v>2474</v>
      </c>
      <c r="AZ181" s="1">
        <v>0</v>
      </c>
      <c r="BA181" s="1">
        <v>0</v>
      </c>
    </row>
    <row r="182" spans="1:53">
      <c r="A182" s="19">
        <v>50001</v>
      </c>
      <c r="B182" s="1">
        <v>2024</v>
      </c>
      <c r="C182" s="1">
        <v>19200</v>
      </c>
      <c r="D182" s="1">
        <v>0</v>
      </c>
      <c r="E182" s="1">
        <v>0</v>
      </c>
      <c r="F182" s="1">
        <v>95</v>
      </c>
      <c r="G182" s="1">
        <v>160</v>
      </c>
      <c r="H182" s="1">
        <v>1164</v>
      </c>
      <c r="I182" s="1">
        <v>770</v>
      </c>
      <c r="J182" s="1">
        <v>64</v>
      </c>
      <c r="K182" s="1">
        <v>64</v>
      </c>
      <c r="L182" s="1">
        <v>0</v>
      </c>
      <c r="M182" s="1">
        <v>0</v>
      </c>
      <c r="N182" s="1">
        <v>0</v>
      </c>
      <c r="O182" s="1">
        <v>11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174</v>
      </c>
      <c r="V182" s="1">
        <v>92</v>
      </c>
      <c r="W182" s="1">
        <v>801</v>
      </c>
      <c r="X182" s="1">
        <v>0</v>
      </c>
      <c r="Y182" s="1">
        <v>481</v>
      </c>
      <c r="Z182" s="1">
        <v>0</v>
      </c>
      <c r="AA182" s="1">
        <v>61</v>
      </c>
      <c r="AB182" s="1">
        <v>98</v>
      </c>
      <c r="AC182" s="1">
        <v>273</v>
      </c>
      <c r="AD182" s="1">
        <v>0</v>
      </c>
      <c r="AE182" s="1">
        <v>670</v>
      </c>
      <c r="AF182" s="1">
        <v>17</v>
      </c>
      <c r="AG182" s="1">
        <v>129</v>
      </c>
      <c r="AH182" s="1">
        <v>0</v>
      </c>
      <c r="AI182" s="1">
        <v>4</v>
      </c>
      <c r="AJ182" s="1">
        <v>0</v>
      </c>
      <c r="AK182" s="1">
        <v>376</v>
      </c>
      <c r="AL182" s="1">
        <v>0</v>
      </c>
      <c r="AM182" s="1">
        <v>748</v>
      </c>
      <c r="AN182" s="1">
        <v>0</v>
      </c>
      <c r="AO182" s="1">
        <v>1329</v>
      </c>
      <c r="AP182" s="1">
        <v>0</v>
      </c>
      <c r="AQ182" s="1">
        <v>2726</v>
      </c>
      <c r="AR182" s="1">
        <v>0</v>
      </c>
      <c r="AS182" s="1">
        <v>2422</v>
      </c>
      <c r="AT182" s="1">
        <v>0</v>
      </c>
      <c r="AU182" s="1">
        <v>3783</v>
      </c>
      <c r="AV182" s="1">
        <v>0</v>
      </c>
      <c r="AW182" s="1">
        <v>1260</v>
      </c>
      <c r="AX182" s="1">
        <v>0</v>
      </c>
      <c r="AY182" s="1">
        <v>1428</v>
      </c>
      <c r="AZ182" s="1">
        <v>0</v>
      </c>
      <c r="BA182" s="1">
        <v>0</v>
      </c>
    </row>
    <row r="183" spans="1:53">
      <c r="A183" s="19">
        <v>50003</v>
      </c>
      <c r="B183" s="1">
        <v>2024</v>
      </c>
      <c r="C183" s="1">
        <v>11716</v>
      </c>
      <c r="D183" s="1">
        <v>0</v>
      </c>
      <c r="E183" s="1">
        <v>0</v>
      </c>
      <c r="F183" s="1">
        <v>14</v>
      </c>
      <c r="G183" s="1">
        <v>19</v>
      </c>
      <c r="H183" s="1">
        <v>1159</v>
      </c>
      <c r="I183" s="1">
        <v>570</v>
      </c>
      <c r="J183" s="1">
        <v>1079</v>
      </c>
      <c r="K183" s="1">
        <v>310</v>
      </c>
      <c r="L183" s="1">
        <v>0</v>
      </c>
      <c r="M183" s="1">
        <v>75</v>
      </c>
      <c r="N183" s="1">
        <v>0</v>
      </c>
      <c r="O183" s="1">
        <v>215</v>
      </c>
      <c r="P183" s="1">
        <v>0</v>
      </c>
      <c r="Q183" s="1">
        <v>54</v>
      </c>
      <c r="R183" s="1">
        <v>13</v>
      </c>
      <c r="S183" s="1">
        <v>38</v>
      </c>
      <c r="T183" s="1">
        <v>0</v>
      </c>
      <c r="U183" s="1">
        <v>155</v>
      </c>
      <c r="V183" s="1">
        <v>0</v>
      </c>
      <c r="W183" s="1">
        <v>761</v>
      </c>
      <c r="X183" s="1">
        <v>0</v>
      </c>
      <c r="Y183" s="1">
        <v>1277</v>
      </c>
      <c r="Z183" s="1">
        <v>0</v>
      </c>
      <c r="AA183" s="1">
        <v>230</v>
      </c>
      <c r="AB183" s="1">
        <v>0</v>
      </c>
      <c r="AC183" s="1">
        <v>0</v>
      </c>
      <c r="AD183" s="1">
        <v>0</v>
      </c>
      <c r="AE183" s="1">
        <v>173</v>
      </c>
      <c r="AF183" s="1">
        <v>24</v>
      </c>
      <c r="AG183" s="1">
        <v>192</v>
      </c>
      <c r="AH183" s="1">
        <v>0</v>
      </c>
      <c r="AI183" s="1">
        <v>133</v>
      </c>
      <c r="AJ183" s="1">
        <v>109</v>
      </c>
      <c r="AK183" s="1">
        <v>723</v>
      </c>
      <c r="AL183" s="1">
        <v>0</v>
      </c>
      <c r="AM183" s="1">
        <v>188</v>
      </c>
      <c r="AN183" s="1">
        <v>0</v>
      </c>
      <c r="AO183" s="1">
        <v>165</v>
      </c>
      <c r="AP183" s="1">
        <v>0</v>
      </c>
      <c r="AQ183" s="1">
        <v>46</v>
      </c>
      <c r="AR183" s="1">
        <v>0</v>
      </c>
      <c r="AS183" s="1">
        <v>1253</v>
      </c>
      <c r="AT183" s="1">
        <v>0</v>
      </c>
      <c r="AU183" s="1">
        <v>1217</v>
      </c>
      <c r="AV183" s="1">
        <v>0</v>
      </c>
      <c r="AW183" s="1">
        <v>508</v>
      </c>
      <c r="AX183" s="1">
        <v>0</v>
      </c>
      <c r="AY183" s="1">
        <v>1016</v>
      </c>
      <c r="AZ183" s="1">
        <v>0</v>
      </c>
      <c r="BA183" s="1">
        <v>0</v>
      </c>
    </row>
    <row r="184" spans="1:53">
      <c r="A184" s="19">
        <v>50005</v>
      </c>
      <c r="B184" s="1">
        <v>2024</v>
      </c>
      <c r="C184" s="1">
        <v>8197</v>
      </c>
      <c r="D184" s="1">
        <v>0</v>
      </c>
      <c r="E184" s="1">
        <v>0</v>
      </c>
      <c r="F184" s="1">
        <v>0</v>
      </c>
      <c r="G184" s="1">
        <v>130</v>
      </c>
      <c r="H184" s="1">
        <v>368</v>
      </c>
      <c r="I184" s="1">
        <v>605</v>
      </c>
      <c r="J184" s="1">
        <v>554</v>
      </c>
      <c r="K184" s="1">
        <v>471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93</v>
      </c>
      <c r="T184" s="1">
        <v>0</v>
      </c>
      <c r="U184" s="1">
        <v>123</v>
      </c>
      <c r="V184" s="1">
        <v>0</v>
      </c>
      <c r="W184" s="1">
        <v>205</v>
      </c>
      <c r="X184" s="1">
        <v>0</v>
      </c>
      <c r="Y184" s="1">
        <v>135</v>
      </c>
      <c r="Z184" s="1">
        <v>0</v>
      </c>
      <c r="AA184" s="1">
        <v>336</v>
      </c>
      <c r="AB184" s="1">
        <v>0</v>
      </c>
      <c r="AC184" s="1">
        <v>0</v>
      </c>
      <c r="AD184" s="1">
        <v>0</v>
      </c>
      <c r="AE184" s="1">
        <v>441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471</v>
      </c>
      <c r="AL184" s="1">
        <v>0</v>
      </c>
      <c r="AM184" s="1">
        <v>469</v>
      </c>
      <c r="AN184" s="1">
        <v>0</v>
      </c>
      <c r="AO184" s="1">
        <v>497</v>
      </c>
      <c r="AP184" s="1">
        <v>0</v>
      </c>
      <c r="AQ184" s="1">
        <v>375</v>
      </c>
      <c r="AR184" s="1">
        <v>0</v>
      </c>
      <c r="AS184" s="1">
        <v>936</v>
      </c>
      <c r="AT184" s="1">
        <v>0</v>
      </c>
      <c r="AU184" s="1">
        <v>271</v>
      </c>
      <c r="AV184" s="1">
        <v>0</v>
      </c>
      <c r="AW184" s="1">
        <v>390</v>
      </c>
      <c r="AX184" s="1">
        <v>0</v>
      </c>
      <c r="AY184" s="1">
        <v>1309</v>
      </c>
      <c r="AZ184" s="1">
        <v>0</v>
      </c>
      <c r="BA184" s="1">
        <v>18</v>
      </c>
    </row>
    <row r="185" spans="1:53">
      <c r="A185" s="19">
        <v>50006</v>
      </c>
      <c r="B185" s="1">
        <v>2024</v>
      </c>
      <c r="C185" s="1">
        <v>15319</v>
      </c>
      <c r="D185" s="1">
        <v>0</v>
      </c>
      <c r="E185" s="1">
        <v>0</v>
      </c>
      <c r="F185" s="1">
        <v>181</v>
      </c>
      <c r="G185" s="1">
        <v>80</v>
      </c>
      <c r="H185" s="1">
        <v>1414</v>
      </c>
      <c r="I185" s="1">
        <v>1612</v>
      </c>
      <c r="J185" s="1">
        <v>705</v>
      </c>
      <c r="K185" s="1">
        <v>304</v>
      </c>
      <c r="L185" s="1">
        <v>0</v>
      </c>
      <c r="M185" s="1">
        <v>26</v>
      </c>
      <c r="N185" s="1">
        <v>0</v>
      </c>
      <c r="O185" s="1">
        <v>328</v>
      </c>
      <c r="P185" s="1">
        <v>0</v>
      </c>
      <c r="Q185" s="1">
        <v>267</v>
      </c>
      <c r="R185" s="1">
        <v>0</v>
      </c>
      <c r="S185" s="1">
        <v>173</v>
      </c>
      <c r="T185" s="1">
        <v>0</v>
      </c>
      <c r="U185" s="1">
        <v>1</v>
      </c>
      <c r="V185" s="1">
        <v>51</v>
      </c>
      <c r="W185" s="1">
        <v>53</v>
      </c>
      <c r="X185" s="1">
        <v>0</v>
      </c>
      <c r="Y185" s="1">
        <v>396</v>
      </c>
      <c r="Z185" s="1">
        <v>0</v>
      </c>
      <c r="AA185" s="1">
        <v>107</v>
      </c>
      <c r="AB185" s="1">
        <v>0</v>
      </c>
      <c r="AC185" s="1">
        <v>0</v>
      </c>
      <c r="AD185" s="1">
        <v>0</v>
      </c>
      <c r="AE185" s="1">
        <v>449</v>
      </c>
      <c r="AF185" s="1">
        <v>20</v>
      </c>
      <c r="AG185" s="1">
        <v>494</v>
      </c>
      <c r="AH185" s="1">
        <v>0</v>
      </c>
      <c r="AI185" s="1">
        <v>149</v>
      </c>
      <c r="AJ185" s="1">
        <v>25</v>
      </c>
      <c r="AK185" s="1">
        <v>593</v>
      </c>
      <c r="AL185" s="1">
        <v>0</v>
      </c>
      <c r="AM185" s="1">
        <v>202</v>
      </c>
      <c r="AN185" s="1">
        <v>0</v>
      </c>
      <c r="AO185" s="1">
        <v>125</v>
      </c>
      <c r="AP185" s="1">
        <v>0</v>
      </c>
      <c r="AQ185" s="1">
        <v>41</v>
      </c>
      <c r="AR185" s="1">
        <v>0</v>
      </c>
      <c r="AS185" s="1">
        <v>1662</v>
      </c>
      <c r="AT185" s="1">
        <v>0</v>
      </c>
      <c r="AU185" s="1">
        <v>2772</v>
      </c>
      <c r="AV185" s="1">
        <v>0</v>
      </c>
      <c r="AW185" s="1">
        <v>1153</v>
      </c>
      <c r="AX185" s="1">
        <v>0</v>
      </c>
      <c r="AY185" s="1">
        <v>1367</v>
      </c>
      <c r="AZ185" s="1">
        <v>0</v>
      </c>
      <c r="BA185" s="1">
        <v>569</v>
      </c>
    </row>
    <row r="186" spans="1:53">
      <c r="A186" s="19">
        <v>51002</v>
      </c>
      <c r="B186" s="1">
        <v>2024</v>
      </c>
      <c r="C186" s="1">
        <v>14698</v>
      </c>
      <c r="D186" s="1">
        <v>0</v>
      </c>
      <c r="E186" s="1">
        <v>0</v>
      </c>
      <c r="F186" s="1">
        <v>394</v>
      </c>
      <c r="G186" s="1">
        <v>0</v>
      </c>
      <c r="H186" s="1">
        <v>548</v>
      </c>
      <c r="I186" s="1">
        <v>210</v>
      </c>
      <c r="J186" s="1">
        <v>336</v>
      </c>
      <c r="K186" s="1">
        <v>200</v>
      </c>
      <c r="L186" s="1">
        <v>0</v>
      </c>
      <c r="M186" s="1">
        <v>195</v>
      </c>
      <c r="N186" s="1">
        <v>0</v>
      </c>
      <c r="O186" s="1">
        <v>457</v>
      </c>
      <c r="P186" s="1">
        <v>0</v>
      </c>
      <c r="Q186" s="1">
        <v>377</v>
      </c>
      <c r="R186" s="1">
        <v>0</v>
      </c>
      <c r="S186" s="1">
        <v>242</v>
      </c>
      <c r="T186" s="1">
        <v>0</v>
      </c>
      <c r="U186" s="1">
        <v>134</v>
      </c>
      <c r="V186" s="1">
        <v>0</v>
      </c>
      <c r="W186" s="1">
        <v>563</v>
      </c>
      <c r="X186" s="1">
        <v>0</v>
      </c>
      <c r="Y186" s="1">
        <v>454</v>
      </c>
      <c r="Z186" s="1">
        <v>0</v>
      </c>
      <c r="AA186" s="1">
        <v>273</v>
      </c>
      <c r="AB186" s="1">
        <v>0</v>
      </c>
      <c r="AC186" s="1">
        <v>176</v>
      </c>
      <c r="AD186" s="1">
        <v>0</v>
      </c>
      <c r="AE186" s="1">
        <v>280</v>
      </c>
      <c r="AF186" s="1">
        <v>0</v>
      </c>
      <c r="AG186" s="1">
        <v>258</v>
      </c>
      <c r="AH186" s="1">
        <v>0</v>
      </c>
      <c r="AI186" s="1">
        <v>429</v>
      </c>
      <c r="AJ186" s="1">
        <v>0</v>
      </c>
      <c r="AK186" s="1">
        <v>278</v>
      </c>
      <c r="AL186" s="1">
        <v>0</v>
      </c>
      <c r="AM186" s="1">
        <v>501</v>
      </c>
      <c r="AN186" s="1">
        <v>0</v>
      </c>
      <c r="AO186" s="1">
        <v>1102</v>
      </c>
      <c r="AP186" s="1">
        <v>0</v>
      </c>
      <c r="AQ186" s="1">
        <v>639</v>
      </c>
      <c r="AR186" s="1">
        <v>0</v>
      </c>
      <c r="AS186" s="1">
        <v>1140</v>
      </c>
      <c r="AT186" s="1">
        <v>0</v>
      </c>
      <c r="AU186" s="1">
        <v>2302</v>
      </c>
      <c r="AV186" s="1">
        <v>0</v>
      </c>
      <c r="AW186" s="1">
        <v>801</v>
      </c>
      <c r="AX186" s="1">
        <v>0</v>
      </c>
      <c r="AY186" s="1">
        <v>2405</v>
      </c>
      <c r="AZ186" s="1">
        <v>0</v>
      </c>
      <c r="BA186" s="1">
        <v>4</v>
      </c>
    </row>
    <row r="187" spans="1:53">
      <c r="A187" s="19">
        <v>52003</v>
      </c>
      <c r="B187" s="1">
        <v>2024</v>
      </c>
      <c r="C187" s="1">
        <v>22483</v>
      </c>
      <c r="D187" s="1">
        <v>0</v>
      </c>
      <c r="E187" s="1">
        <v>0</v>
      </c>
      <c r="F187" s="1">
        <v>66</v>
      </c>
      <c r="G187" s="1">
        <v>129</v>
      </c>
      <c r="H187" s="1">
        <v>897</v>
      </c>
      <c r="I187" s="1">
        <v>1260</v>
      </c>
      <c r="J187" s="1">
        <v>409</v>
      </c>
      <c r="K187" s="1">
        <v>110</v>
      </c>
      <c r="L187" s="1">
        <v>0</v>
      </c>
      <c r="M187" s="1">
        <v>0</v>
      </c>
      <c r="N187" s="1">
        <v>88</v>
      </c>
      <c r="O187" s="1">
        <v>37</v>
      </c>
      <c r="P187" s="1">
        <v>92</v>
      </c>
      <c r="Q187" s="1">
        <v>279</v>
      </c>
      <c r="R187" s="1">
        <v>0</v>
      </c>
      <c r="S187" s="1">
        <v>154</v>
      </c>
      <c r="T187" s="1">
        <v>201</v>
      </c>
      <c r="U187" s="1">
        <v>1154</v>
      </c>
      <c r="V187" s="1">
        <v>92</v>
      </c>
      <c r="W187" s="1">
        <v>644</v>
      </c>
      <c r="X187" s="1">
        <v>152</v>
      </c>
      <c r="Y187" s="1">
        <v>1903</v>
      </c>
      <c r="Z187" s="1">
        <v>0</v>
      </c>
      <c r="AA187" s="1">
        <v>264</v>
      </c>
      <c r="AB187" s="1">
        <v>0</v>
      </c>
      <c r="AC187" s="1">
        <v>0</v>
      </c>
      <c r="AD187" s="1">
        <v>183</v>
      </c>
      <c r="AE187" s="1">
        <v>474</v>
      </c>
      <c r="AF187" s="1">
        <v>0</v>
      </c>
      <c r="AG187" s="1">
        <v>1901</v>
      </c>
      <c r="AH187" s="1">
        <v>0</v>
      </c>
      <c r="AI187" s="1">
        <v>71</v>
      </c>
      <c r="AJ187" s="1">
        <v>0</v>
      </c>
      <c r="AK187" s="1">
        <v>40</v>
      </c>
      <c r="AL187" s="1">
        <v>0</v>
      </c>
      <c r="AM187" s="1">
        <v>1645</v>
      </c>
      <c r="AN187" s="1">
        <v>0</v>
      </c>
      <c r="AO187" s="1">
        <v>91</v>
      </c>
      <c r="AP187" s="1">
        <v>0</v>
      </c>
      <c r="AQ187" s="1">
        <v>1133</v>
      </c>
      <c r="AR187" s="1">
        <v>0</v>
      </c>
      <c r="AS187" s="1">
        <v>1147</v>
      </c>
      <c r="AT187" s="1">
        <v>0</v>
      </c>
      <c r="AU187" s="1">
        <v>6788</v>
      </c>
      <c r="AV187" s="1">
        <v>0</v>
      </c>
      <c r="AW187" s="1">
        <v>510</v>
      </c>
      <c r="AX187" s="1">
        <v>0</v>
      </c>
      <c r="AY187" s="1">
        <v>569</v>
      </c>
      <c r="AZ187" s="1">
        <v>0</v>
      </c>
      <c r="BA187" s="1">
        <v>0</v>
      </c>
    </row>
    <row r="188" spans="1:53">
      <c r="A188" s="19">
        <v>53004</v>
      </c>
      <c r="B188" s="1">
        <v>2024</v>
      </c>
      <c r="C188" s="1">
        <v>12166</v>
      </c>
      <c r="D188" s="1">
        <v>0</v>
      </c>
      <c r="E188" s="1">
        <v>0</v>
      </c>
      <c r="F188" s="1">
        <v>138</v>
      </c>
      <c r="G188" s="1">
        <v>0</v>
      </c>
      <c r="H188" s="1">
        <v>580</v>
      </c>
      <c r="I188" s="1">
        <v>706</v>
      </c>
      <c r="J188" s="1">
        <v>94</v>
      </c>
      <c r="K188" s="1">
        <v>134</v>
      </c>
      <c r="L188" s="1">
        <v>90</v>
      </c>
      <c r="M188" s="1">
        <v>30</v>
      </c>
      <c r="N188" s="1">
        <v>1059</v>
      </c>
      <c r="O188" s="1">
        <v>519</v>
      </c>
      <c r="P188" s="1">
        <v>91</v>
      </c>
      <c r="Q188" s="1">
        <v>243</v>
      </c>
      <c r="R188" s="1">
        <v>44</v>
      </c>
      <c r="S188" s="1">
        <v>167</v>
      </c>
      <c r="T188" s="1">
        <v>38</v>
      </c>
      <c r="U188" s="1">
        <v>94</v>
      </c>
      <c r="V188" s="1">
        <v>843</v>
      </c>
      <c r="W188" s="1">
        <v>943</v>
      </c>
      <c r="X188" s="1">
        <v>182</v>
      </c>
      <c r="Y188" s="1">
        <v>735</v>
      </c>
      <c r="Z188" s="1">
        <v>51</v>
      </c>
      <c r="AA188" s="1">
        <v>114</v>
      </c>
      <c r="AB188" s="1">
        <v>0</v>
      </c>
      <c r="AC188" s="1">
        <v>37</v>
      </c>
      <c r="AD188" s="1">
        <v>214</v>
      </c>
      <c r="AE188" s="1">
        <v>270</v>
      </c>
      <c r="AF188" s="1">
        <v>117</v>
      </c>
      <c r="AG188" s="1">
        <v>176</v>
      </c>
      <c r="AH188" s="1">
        <v>83</v>
      </c>
      <c r="AI188" s="1">
        <v>30</v>
      </c>
      <c r="AJ188" s="1">
        <v>99</v>
      </c>
      <c r="AK188" s="1">
        <v>395</v>
      </c>
      <c r="AL188" s="1">
        <v>0</v>
      </c>
      <c r="AM188" s="1">
        <v>44</v>
      </c>
      <c r="AN188" s="1">
        <v>0</v>
      </c>
      <c r="AO188" s="1">
        <v>357</v>
      </c>
      <c r="AP188" s="1">
        <v>0</v>
      </c>
      <c r="AQ188" s="1">
        <v>57</v>
      </c>
      <c r="AR188" s="1">
        <v>0</v>
      </c>
      <c r="AS188" s="1">
        <v>901</v>
      </c>
      <c r="AT188" s="1">
        <v>0</v>
      </c>
      <c r="AU188" s="1">
        <v>1177</v>
      </c>
      <c r="AV188" s="1">
        <v>0</v>
      </c>
      <c r="AW188" s="1">
        <v>628</v>
      </c>
      <c r="AX188" s="1">
        <v>0</v>
      </c>
      <c r="AY188" s="1">
        <v>663</v>
      </c>
      <c r="AZ188" s="1">
        <v>0</v>
      </c>
      <c r="BA188" s="1">
        <v>23</v>
      </c>
    </row>
    <row r="189" spans="1:53">
      <c r="A189" s="19">
        <v>53005</v>
      </c>
      <c r="B189" s="1">
        <v>2024</v>
      </c>
      <c r="C189" s="1">
        <v>11098</v>
      </c>
      <c r="D189" s="1">
        <v>0</v>
      </c>
      <c r="E189" s="1">
        <v>25</v>
      </c>
      <c r="F189" s="1">
        <v>0</v>
      </c>
      <c r="G189" s="1">
        <v>101</v>
      </c>
      <c r="H189" s="1">
        <v>554</v>
      </c>
      <c r="I189" s="1">
        <v>67</v>
      </c>
      <c r="J189" s="1">
        <v>363</v>
      </c>
      <c r="K189" s="1">
        <v>76</v>
      </c>
      <c r="L189" s="1">
        <v>0</v>
      </c>
      <c r="M189" s="1">
        <v>0</v>
      </c>
      <c r="N189" s="1">
        <v>0</v>
      </c>
      <c r="O189" s="1">
        <v>148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576</v>
      </c>
      <c r="V189" s="1">
        <v>0</v>
      </c>
      <c r="W189" s="1">
        <v>438</v>
      </c>
      <c r="X189" s="1">
        <v>0</v>
      </c>
      <c r="Y189" s="1">
        <v>906</v>
      </c>
      <c r="Z189" s="1">
        <v>0</v>
      </c>
      <c r="AA189" s="1">
        <v>0</v>
      </c>
      <c r="AB189" s="1">
        <v>43</v>
      </c>
      <c r="AC189" s="1">
        <v>0</v>
      </c>
      <c r="AD189" s="1">
        <v>0</v>
      </c>
      <c r="AE189" s="1">
        <v>0</v>
      </c>
      <c r="AF189" s="1">
        <v>0</v>
      </c>
      <c r="AG189" s="1">
        <v>1205</v>
      </c>
      <c r="AH189" s="1">
        <v>0</v>
      </c>
      <c r="AI189" s="1">
        <v>92</v>
      </c>
      <c r="AJ189" s="1">
        <v>0</v>
      </c>
      <c r="AK189" s="1">
        <v>102</v>
      </c>
      <c r="AL189" s="1">
        <v>0</v>
      </c>
      <c r="AM189" s="1">
        <v>1252</v>
      </c>
      <c r="AN189" s="1">
        <v>0</v>
      </c>
      <c r="AO189" s="1">
        <v>367</v>
      </c>
      <c r="AP189" s="1">
        <v>0</v>
      </c>
      <c r="AQ189" s="1">
        <v>656</v>
      </c>
      <c r="AR189" s="1">
        <v>0</v>
      </c>
      <c r="AS189" s="1">
        <v>611</v>
      </c>
      <c r="AT189" s="1">
        <v>0</v>
      </c>
      <c r="AU189" s="1">
        <v>819</v>
      </c>
      <c r="AV189" s="1">
        <v>0</v>
      </c>
      <c r="AW189" s="1">
        <v>1072</v>
      </c>
      <c r="AX189" s="1">
        <v>0</v>
      </c>
      <c r="AY189" s="1">
        <v>1625</v>
      </c>
      <c r="AZ189" s="1">
        <v>0</v>
      </c>
      <c r="BA189" s="1">
        <v>0</v>
      </c>
    </row>
    <row r="190" spans="1:53">
      <c r="A190" s="19">
        <v>54002</v>
      </c>
      <c r="B190" s="1">
        <v>2024</v>
      </c>
      <c r="C190" s="1">
        <v>15650</v>
      </c>
      <c r="D190" s="1">
        <v>0</v>
      </c>
      <c r="E190" s="1">
        <v>0</v>
      </c>
      <c r="F190" s="1">
        <v>0</v>
      </c>
      <c r="G190" s="1">
        <v>6</v>
      </c>
      <c r="H190" s="1">
        <v>335</v>
      </c>
      <c r="I190" s="1">
        <v>2</v>
      </c>
      <c r="J190" s="1">
        <v>139</v>
      </c>
      <c r="K190" s="1">
        <v>163</v>
      </c>
      <c r="L190" s="1">
        <v>0</v>
      </c>
      <c r="M190" s="1">
        <v>43</v>
      </c>
      <c r="N190" s="1">
        <v>0</v>
      </c>
      <c r="O190" s="1">
        <v>30</v>
      </c>
      <c r="P190" s="1">
        <v>0</v>
      </c>
      <c r="Q190" s="1">
        <v>124</v>
      </c>
      <c r="R190" s="1">
        <v>0</v>
      </c>
      <c r="S190" s="1">
        <v>99</v>
      </c>
      <c r="T190" s="1">
        <v>71</v>
      </c>
      <c r="U190" s="1">
        <v>147</v>
      </c>
      <c r="V190" s="1">
        <v>0</v>
      </c>
      <c r="W190" s="1">
        <v>478</v>
      </c>
      <c r="X190" s="1">
        <v>0</v>
      </c>
      <c r="Y190" s="1">
        <v>179</v>
      </c>
      <c r="Z190" s="1">
        <v>0</v>
      </c>
      <c r="AA190" s="1">
        <v>1</v>
      </c>
      <c r="AB190" s="1">
        <v>0</v>
      </c>
      <c r="AC190" s="1">
        <v>0</v>
      </c>
      <c r="AD190" s="1">
        <v>152</v>
      </c>
      <c r="AE190" s="1">
        <v>213</v>
      </c>
      <c r="AF190" s="1">
        <v>0</v>
      </c>
      <c r="AG190" s="1">
        <v>331</v>
      </c>
      <c r="AH190" s="1">
        <v>0</v>
      </c>
      <c r="AI190" s="1">
        <v>92</v>
      </c>
      <c r="AJ190" s="1">
        <v>61</v>
      </c>
      <c r="AK190" s="1">
        <v>331</v>
      </c>
      <c r="AL190" s="1">
        <v>0</v>
      </c>
      <c r="AM190" s="1">
        <v>901</v>
      </c>
      <c r="AN190" s="1">
        <v>315</v>
      </c>
      <c r="AO190" s="1">
        <v>1338</v>
      </c>
      <c r="AP190" s="1">
        <v>479</v>
      </c>
      <c r="AQ190" s="1">
        <v>651</v>
      </c>
      <c r="AR190" s="1">
        <v>359</v>
      </c>
      <c r="AS190" s="1">
        <v>1637</v>
      </c>
      <c r="AT190" s="1">
        <v>345</v>
      </c>
      <c r="AU190" s="1">
        <v>1048</v>
      </c>
      <c r="AV190" s="1">
        <v>71</v>
      </c>
      <c r="AW190" s="1">
        <v>756</v>
      </c>
      <c r="AX190" s="1">
        <v>863</v>
      </c>
      <c r="AY190" s="1">
        <v>3818</v>
      </c>
      <c r="AZ190" s="1">
        <v>62</v>
      </c>
      <c r="BA190" s="1">
        <v>10</v>
      </c>
    </row>
    <row r="191" spans="1:53">
      <c r="A191" s="19">
        <v>54003</v>
      </c>
      <c r="B191" s="1">
        <v>2024</v>
      </c>
      <c r="C191" s="1">
        <v>16332</v>
      </c>
      <c r="D191" s="1">
        <v>0</v>
      </c>
      <c r="E191" s="1">
        <v>0</v>
      </c>
      <c r="F191" s="1">
        <v>7</v>
      </c>
      <c r="G191" s="1">
        <v>32</v>
      </c>
      <c r="H191" s="1">
        <v>586</v>
      </c>
      <c r="I191" s="1">
        <v>402</v>
      </c>
      <c r="J191" s="1">
        <v>269</v>
      </c>
      <c r="K191" s="1">
        <v>136</v>
      </c>
      <c r="L191" s="1">
        <v>71</v>
      </c>
      <c r="M191" s="1">
        <v>0</v>
      </c>
      <c r="N191" s="1">
        <v>46</v>
      </c>
      <c r="O191" s="1">
        <v>279</v>
      </c>
      <c r="P191" s="1">
        <v>225</v>
      </c>
      <c r="Q191" s="1">
        <v>91</v>
      </c>
      <c r="R191" s="1">
        <v>0</v>
      </c>
      <c r="S191" s="1">
        <v>433</v>
      </c>
      <c r="T191" s="1">
        <v>0</v>
      </c>
      <c r="U191" s="1">
        <v>0</v>
      </c>
      <c r="V191" s="1">
        <v>6</v>
      </c>
      <c r="W191" s="1">
        <v>766</v>
      </c>
      <c r="X191" s="1">
        <v>366</v>
      </c>
      <c r="Y191" s="1">
        <v>281</v>
      </c>
      <c r="Z191" s="1">
        <v>0</v>
      </c>
      <c r="AA191" s="1">
        <v>110</v>
      </c>
      <c r="AB191" s="1">
        <v>0</v>
      </c>
      <c r="AC191" s="1">
        <v>172</v>
      </c>
      <c r="AD191" s="1">
        <v>0</v>
      </c>
      <c r="AE191" s="1">
        <v>446</v>
      </c>
      <c r="AF191" s="1">
        <v>2</v>
      </c>
      <c r="AG191" s="1">
        <v>247</v>
      </c>
      <c r="AH191" s="1">
        <v>0</v>
      </c>
      <c r="AI191" s="1">
        <v>0</v>
      </c>
      <c r="AJ191" s="1">
        <v>112</v>
      </c>
      <c r="AK191" s="1">
        <v>561</v>
      </c>
      <c r="AL191" s="1">
        <v>99</v>
      </c>
      <c r="AM191" s="1">
        <v>719</v>
      </c>
      <c r="AN191" s="1">
        <v>92</v>
      </c>
      <c r="AO191" s="1">
        <v>1313</v>
      </c>
      <c r="AP191" s="1">
        <v>579</v>
      </c>
      <c r="AQ191" s="1">
        <v>912</v>
      </c>
      <c r="AR191" s="1">
        <v>219</v>
      </c>
      <c r="AS191" s="1">
        <v>1688</v>
      </c>
      <c r="AT191" s="1">
        <v>701</v>
      </c>
      <c r="AU191" s="1">
        <v>2059</v>
      </c>
      <c r="AV191" s="1">
        <v>204</v>
      </c>
      <c r="AW191" s="1">
        <v>573</v>
      </c>
      <c r="AX191" s="1">
        <v>367</v>
      </c>
      <c r="AY191" s="1">
        <v>1161</v>
      </c>
      <c r="AZ191" s="1">
        <v>0</v>
      </c>
      <c r="BA191" s="1">
        <v>0</v>
      </c>
    </row>
    <row r="192" spans="1:53">
      <c r="A192" s="19">
        <v>55001</v>
      </c>
      <c r="B192" s="1">
        <v>2024</v>
      </c>
      <c r="C192" s="1">
        <v>10829</v>
      </c>
      <c r="D192" s="1">
        <v>0</v>
      </c>
      <c r="E192" s="1">
        <v>0</v>
      </c>
      <c r="F192" s="1">
        <v>0</v>
      </c>
      <c r="G192" s="1">
        <v>82</v>
      </c>
      <c r="H192" s="1">
        <v>776</v>
      </c>
      <c r="I192" s="1">
        <v>1456</v>
      </c>
      <c r="J192" s="1">
        <v>452</v>
      </c>
      <c r="K192" s="1">
        <v>261</v>
      </c>
      <c r="L192" s="1">
        <v>0</v>
      </c>
      <c r="M192" s="1">
        <v>0</v>
      </c>
      <c r="N192" s="1">
        <v>0</v>
      </c>
      <c r="O192" s="1">
        <v>0</v>
      </c>
      <c r="P192" s="1">
        <v>20</v>
      </c>
      <c r="Q192" s="1">
        <v>72</v>
      </c>
      <c r="R192" s="1">
        <v>0</v>
      </c>
      <c r="S192" s="1">
        <v>35</v>
      </c>
      <c r="T192" s="1">
        <v>0</v>
      </c>
      <c r="U192" s="1">
        <v>97</v>
      </c>
      <c r="V192" s="1">
        <v>0</v>
      </c>
      <c r="W192" s="1">
        <v>1048</v>
      </c>
      <c r="X192" s="1">
        <v>4</v>
      </c>
      <c r="Y192" s="1">
        <v>1319</v>
      </c>
      <c r="Z192" s="1">
        <v>0</v>
      </c>
      <c r="AA192" s="1">
        <v>231</v>
      </c>
      <c r="AB192" s="1">
        <v>0</v>
      </c>
      <c r="AC192" s="1">
        <v>47</v>
      </c>
      <c r="AD192" s="1">
        <v>0</v>
      </c>
      <c r="AE192" s="1">
        <v>203</v>
      </c>
      <c r="AF192" s="1">
        <v>0</v>
      </c>
      <c r="AG192" s="1">
        <v>1021</v>
      </c>
      <c r="AH192" s="1">
        <v>0</v>
      </c>
      <c r="AI192" s="1">
        <v>478</v>
      </c>
      <c r="AJ192" s="1">
        <v>76</v>
      </c>
      <c r="AK192" s="1">
        <v>532</v>
      </c>
      <c r="AL192" s="1">
        <v>7</v>
      </c>
      <c r="AM192" s="1">
        <v>170</v>
      </c>
      <c r="AN192" s="1">
        <v>0</v>
      </c>
      <c r="AO192" s="1">
        <v>155</v>
      </c>
      <c r="AP192" s="1">
        <v>0</v>
      </c>
      <c r="AQ192" s="1">
        <v>92</v>
      </c>
      <c r="AR192" s="1">
        <v>0</v>
      </c>
      <c r="AS192" s="1">
        <v>387</v>
      </c>
      <c r="AT192" s="1">
        <v>0</v>
      </c>
      <c r="AU192" s="1">
        <v>1036</v>
      </c>
      <c r="AV192" s="1">
        <v>0</v>
      </c>
      <c r="AW192" s="1">
        <v>27</v>
      </c>
      <c r="AX192" s="1">
        <v>0</v>
      </c>
      <c r="AY192" s="1">
        <v>724</v>
      </c>
      <c r="AZ192" s="1">
        <v>0</v>
      </c>
      <c r="BA192" s="1">
        <v>21</v>
      </c>
    </row>
    <row r="193" spans="1:53">
      <c r="A193" s="19">
        <v>55002</v>
      </c>
      <c r="B193" s="1">
        <v>2024</v>
      </c>
      <c r="C193" s="1">
        <v>19954</v>
      </c>
      <c r="D193" s="1">
        <v>0</v>
      </c>
      <c r="E193" s="1">
        <v>0</v>
      </c>
      <c r="F193" s="1">
        <v>8</v>
      </c>
      <c r="G193" s="1">
        <v>138</v>
      </c>
      <c r="H193" s="1">
        <v>1573</v>
      </c>
      <c r="I193" s="1">
        <v>1311</v>
      </c>
      <c r="J193" s="1">
        <v>250</v>
      </c>
      <c r="K193" s="1">
        <v>216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64</v>
      </c>
      <c r="T193" s="1">
        <v>92</v>
      </c>
      <c r="U193" s="1">
        <v>0</v>
      </c>
      <c r="V193" s="1">
        <v>0</v>
      </c>
      <c r="W193" s="1">
        <v>918</v>
      </c>
      <c r="X193" s="1">
        <v>0</v>
      </c>
      <c r="Y193" s="1">
        <v>1117</v>
      </c>
      <c r="Z193" s="1">
        <v>5</v>
      </c>
      <c r="AA193" s="1">
        <v>105</v>
      </c>
      <c r="AB193" s="1">
        <v>52</v>
      </c>
      <c r="AC193" s="1">
        <v>25</v>
      </c>
      <c r="AD193" s="1">
        <v>21</v>
      </c>
      <c r="AE193" s="1">
        <v>1132</v>
      </c>
      <c r="AF193" s="1">
        <v>184</v>
      </c>
      <c r="AG193" s="1">
        <v>450</v>
      </c>
      <c r="AH193" s="1">
        <v>0</v>
      </c>
      <c r="AI193" s="1">
        <v>182</v>
      </c>
      <c r="AJ193" s="1">
        <v>373</v>
      </c>
      <c r="AK193" s="1">
        <v>609</v>
      </c>
      <c r="AL193" s="1">
        <v>0</v>
      </c>
      <c r="AM193" s="1">
        <v>743</v>
      </c>
      <c r="AN193" s="1">
        <v>0</v>
      </c>
      <c r="AO193" s="1">
        <v>1087</v>
      </c>
      <c r="AP193" s="1">
        <v>0</v>
      </c>
      <c r="AQ193" s="1">
        <v>746</v>
      </c>
      <c r="AR193" s="1">
        <v>0</v>
      </c>
      <c r="AS193" s="1">
        <v>2420</v>
      </c>
      <c r="AT193" s="1">
        <v>0</v>
      </c>
      <c r="AU193" s="1">
        <v>3032</v>
      </c>
      <c r="AV193" s="1">
        <v>0</v>
      </c>
      <c r="AW193" s="1">
        <v>612</v>
      </c>
      <c r="AX193" s="1">
        <v>0</v>
      </c>
      <c r="AY193" s="1">
        <v>1862</v>
      </c>
      <c r="AZ193" s="1">
        <v>0</v>
      </c>
      <c r="BA193" s="1">
        <v>627</v>
      </c>
    </row>
    <row r="194" spans="1:53">
      <c r="A194" s="19">
        <v>55003</v>
      </c>
      <c r="B194" s="1">
        <v>2024</v>
      </c>
      <c r="C194" s="1">
        <v>20212</v>
      </c>
      <c r="D194" s="1">
        <v>0</v>
      </c>
      <c r="E194" s="1">
        <v>0</v>
      </c>
      <c r="F194" s="1">
        <v>80</v>
      </c>
      <c r="G194" s="1">
        <v>84</v>
      </c>
      <c r="H194" s="1">
        <v>2526</v>
      </c>
      <c r="I194" s="1">
        <v>2401</v>
      </c>
      <c r="J194" s="1">
        <v>1342</v>
      </c>
      <c r="K194" s="1">
        <v>67</v>
      </c>
      <c r="L194" s="1">
        <v>0</v>
      </c>
      <c r="M194" s="1">
        <v>0</v>
      </c>
      <c r="N194" s="1">
        <v>11</v>
      </c>
      <c r="O194" s="1">
        <v>145</v>
      </c>
      <c r="P194" s="1">
        <v>0</v>
      </c>
      <c r="Q194" s="1">
        <v>97</v>
      </c>
      <c r="R194" s="1">
        <v>0</v>
      </c>
      <c r="S194" s="1">
        <v>151</v>
      </c>
      <c r="T194" s="1">
        <v>0</v>
      </c>
      <c r="U194" s="1">
        <v>178</v>
      </c>
      <c r="V194" s="1">
        <v>91</v>
      </c>
      <c r="W194" s="1">
        <v>1425</v>
      </c>
      <c r="X194" s="1">
        <v>0</v>
      </c>
      <c r="Y194" s="1">
        <v>745</v>
      </c>
      <c r="Z194" s="1">
        <v>197</v>
      </c>
      <c r="AA194" s="1">
        <v>12</v>
      </c>
      <c r="AB194" s="1">
        <v>3</v>
      </c>
      <c r="AC194" s="1">
        <v>154</v>
      </c>
      <c r="AD194" s="1">
        <v>0</v>
      </c>
      <c r="AE194" s="1">
        <v>1337</v>
      </c>
      <c r="AF194" s="1">
        <v>602</v>
      </c>
      <c r="AG194" s="1">
        <v>662</v>
      </c>
      <c r="AH194" s="1">
        <v>0</v>
      </c>
      <c r="AI194" s="1">
        <v>227</v>
      </c>
      <c r="AJ194" s="1">
        <v>0</v>
      </c>
      <c r="AK194" s="1">
        <v>354</v>
      </c>
      <c r="AL194" s="1">
        <v>0</v>
      </c>
      <c r="AM194" s="1">
        <v>486</v>
      </c>
      <c r="AN194" s="1">
        <v>0</v>
      </c>
      <c r="AO194" s="1">
        <v>6</v>
      </c>
      <c r="AP194" s="1">
        <v>0</v>
      </c>
      <c r="AQ194" s="1">
        <v>114</v>
      </c>
      <c r="AR194" s="1">
        <v>0</v>
      </c>
      <c r="AS194" s="1">
        <v>1974</v>
      </c>
      <c r="AT194" s="1">
        <v>0</v>
      </c>
      <c r="AU194" s="1">
        <v>2394</v>
      </c>
      <c r="AV194" s="1">
        <v>0</v>
      </c>
      <c r="AW194" s="1">
        <v>267</v>
      </c>
      <c r="AX194" s="1">
        <v>0</v>
      </c>
      <c r="AY194" s="1">
        <v>2080</v>
      </c>
      <c r="AZ194" s="1">
        <v>0</v>
      </c>
      <c r="BA194" s="1">
        <v>0</v>
      </c>
    </row>
    <row r="195" spans="1:53">
      <c r="A195" s="19">
        <v>55004</v>
      </c>
      <c r="B195" s="1">
        <v>2024</v>
      </c>
      <c r="C195" s="1">
        <v>14986</v>
      </c>
      <c r="D195" s="1">
        <v>0</v>
      </c>
      <c r="E195" s="1">
        <v>0</v>
      </c>
      <c r="F195" s="1">
        <v>0</v>
      </c>
      <c r="G195" s="1">
        <v>109</v>
      </c>
      <c r="H195" s="1">
        <v>147</v>
      </c>
      <c r="I195" s="1">
        <v>455</v>
      </c>
      <c r="J195" s="1">
        <v>989</v>
      </c>
      <c r="K195" s="1">
        <v>202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1</v>
      </c>
      <c r="R195" s="1">
        <v>0</v>
      </c>
      <c r="S195" s="1">
        <v>0</v>
      </c>
      <c r="T195" s="1">
        <v>0</v>
      </c>
      <c r="U195" s="1">
        <v>324</v>
      </c>
      <c r="V195" s="1">
        <v>0</v>
      </c>
      <c r="W195" s="1">
        <v>409</v>
      </c>
      <c r="X195" s="1">
        <v>59</v>
      </c>
      <c r="Y195" s="1">
        <v>764</v>
      </c>
      <c r="Z195" s="1">
        <v>0</v>
      </c>
      <c r="AA195" s="1">
        <v>179</v>
      </c>
      <c r="AB195" s="1">
        <v>0</v>
      </c>
      <c r="AC195" s="1">
        <v>3</v>
      </c>
      <c r="AD195" s="1">
        <v>61</v>
      </c>
      <c r="AE195" s="1">
        <v>216</v>
      </c>
      <c r="AF195" s="1">
        <v>15</v>
      </c>
      <c r="AG195" s="1">
        <v>654</v>
      </c>
      <c r="AH195" s="1">
        <v>0</v>
      </c>
      <c r="AI195" s="1">
        <v>402</v>
      </c>
      <c r="AJ195" s="1">
        <v>0</v>
      </c>
      <c r="AK195" s="1">
        <v>1311</v>
      </c>
      <c r="AL195" s="1">
        <v>0</v>
      </c>
      <c r="AM195" s="1">
        <v>550</v>
      </c>
      <c r="AN195" s="1">
        <v>0</v>
      </c>
      <c r="AO195" s="1">
        <v>637</v>
      </c>
      <c r="AP195" s="1">
        <v>0</v>
      </c>
      <c r="AQ195" s="1">
        <v>25</v>
      </c>
      <c r="AR195" s="1">
        <v>0</v>
      </c>
      <c r="AS195" s="1">
        <v>111</v>
      </c>
      <c r="AT195" s="1">
        <v>0</v>
      </c>
      <c r="AU195" s="1">
        <v>3172</v>
      </c>
      <c r="AV195" s="1">
        <v>0</v>
      </c>
      <c r="AW195" s="1">
        <v>1495</v>
      </c>
      <c r="AX195" s="1">
        <v>0</v>
      </c>
      <c r="AY195" s="1">
        <v>2696</v>
      </c>
      <c r="AZ195" s="1">
        <v>0</v>
      </c>
      <c r="BA195" s="1">
        <v>0</v>
      </c>
    </row>
    <row r="196" spans="1:53">
      <c r="A196" s="19">
        <v>55005</v>
      </c>
      <c r="B196" s="1">
        <v>2024</v>
      </c>
      <c r="C196" s="1">
        <v>18984</v>
      </c>
      <c r="D196" s="1">
        <v>0</v>
      </c>
      <c r="E196" s="1">
        <v>0</v>
      </c>
      <c r="F196" s="1">
        <v>269</v>
      </c>
      <c r="G196" s="1">
        <v>468</v>
      </c>
      <c r="H196" s="1">
        <v>2273</v>
      </c>
      <c r="I196" s="1">
        <v>1535</v>
      </c>
      <c r="J196" s="1">
        <v>1003</v>
      </c>
      <c r="K196" s="1">
        <v>234</v>
      </c>
      <c r="L196" s="1">
        <v>0</v>
      </c>
      <c r="M196" s="1">
        <v>335</v>
      </c>
      <c r="N196" s="1">
        <v>109</v>
      </c>
      <c r="O196" s="1">
        <v>579</v>
      </c>
      <c r="P196" s="1">
        <v>227</v>
      </c>
      <c r="Q196" s="1">
        <v>230</v>
      </c>
      <c r="R196" s="1">
        <v>9</v>
      </c>
      <c r="S196" s="1">
        <v>184</v>
      </c>
      <c r="T196" s="1">
        <v>55</v>
      </c>
      <c r="U196" s="1">
        <v>49</v>
      </c>
      <c r="V196" s="1">
        <v>200</v>
      </c>
      <c r="W196" s="1">
        <v>511</v>
      </c>
      <c r="X196" s="1">
        <v>0</v>
      </c>
      <c r="Y196" s="1">
        <v>330</v>
      </c>
      <c r="Z196" s="1">
        <v>3</v>
      </c>
      <c r="AA196" s="1">
        <v>141</v>
      </c>
      <c r="AB196" s="1">
        <v>0</v>
      </c>
      <c r="AC196" s="1">
        <v>366</v>
      </c>
      <c r="AD196" s="1">
        <v>139</v>
      </c>
      <c r="AE196" s="1">
        <v>530</v>
      </c>
      <c r="AF196" s="1">
        <v>211</v>
      </c>
      <c r="AG196" s="1">
        <v>100</v>
      </c>
      <c r="AH196" s="1">
        <v>136</v>
      </c>
      <c r="AI196" s="1">
        <v>147</v>
      </c>
      <c r="AJ196" s="1">
        <v>268</v>
      </c>
      <c r="AK196" s="1">
        <v>774</v>
      </c>
      <c r="AL196" s="1">
        <v>0</v>
      </c>
      <c r="AM196" s="1">
        <v>427</v>
      </c>
      <c r="AN196" s="1">
        <v>0</v>
      </c>
      <c r="AO196" s="1">
        <v>311</v>
      </c>
      <c r="AP196" s="1">
        <v>0</v>
      </c>
      <c r="AQ196" s="1">
        <v>248</v>
      </c>
      <c r="AR196" s="1">
        <v>0</v>
      </c>
      <c r="AS196" s="1">
        <v>1075</v>
      </c>
      <c r="AT196" s="1">
        <v>0</v>
      </c>
      <c r="AU196" s="1">
        <v>1510</v>
      </c>
      <c r="AV196" s="1">
        <v>0</v>
      </c>
      <c r="AW196" s="1">
        <v>991</v>
      </c>
      <c r="AX196" s="1">
        <v>0</v>
      </c>
      <c r="AY196" s="1">
        <v>2102</v>
      </c>
      <c r="AZ196" s="1">
        <v>0</v>
      </c>
      <c r="BA196" s="1">
        <v>905</v>
      </c>
    </row>
    <row r="197" spans="1:53">
      <c r="A197" s="19">
        <v>55007</v>
      </c>
      <c r="B197" s="1">
        <v>2024</v>
      </c>
      <c r="C197" s="1">
        <v>31967</v>
      </c>
      <c r="D197" s="1">
        <v>0</v>
      </c>
      <c r="E197" s="1">
        <v>0</v>
      </c>
      <c r="F197" s="1">
        <v>115</v>
      </c>
      <c r="G197" s="1">
        <v>53</v>
      </c>
      <c r="H197" s="1">
        <v>1115</v>
      </c>
      <c r="I197" s="1">
        <v>4044</v>
      </c>
      <c r="J197" s="1">
        <v>2106</v>
      </c>
      <c r="K197" s="1">
        <v>204</v>
      </c>
      <c r="L197" s="1">
        <v>0</v>
      </c>
      <c r="M197" s="1">
        <v>0</v>
      </c>
      <c r="N197" s="1">
        <v>0</v>
      </c>
      <c r="O197" s="1">
        <v>97</v>
      </c>
      <c r="P197" s="1">
        <v>0</v>
      </c>
      <c r="Q197" s="1">
        <v>0</v>
      </c>
      <c r="R197" s="1">
        <v>0</v>
      </c>
      <c r="S197" s="1">
        <v>42</v>
      </c>
      <c r="T197" s="1">
        <v>0</v>
      </c>
      <c r="U197" s="1">
        <v>41</v>
      </c>
      <c r="V197" s="1">
        <v>0</v>
      </c>
      <c r="W197" s="1">
        <v>384</v>
      </c>
      <c r="X197" s="1">
        <v>152</v>
      </c>
      <c r="Y197" s="1">
        <v>1336</v>
      </c>
      <c r="Z197" s="1">
        <v>88</v>
      </c>
      <c r="AA197" s="1">
        <v>844</v>
      </c>
      <c r="AB197" s="1">
        <v>0</v>
      </c>
      <c r="AC197" s="1">
        <v>304</v>
      </c>
      <c r="AD197" s="1">
        <v>0</v>
      </c>
      <c r="AE197" s="1">
        <v>781</v>
      </c>
      <c r="AF197" s="1">
        <v>0</v>
      </c>
      <c r="AG197" s="1">
        <v>2460</v>
      </c>
      <c r="AH197" s="1">
        <v>0</v>
      </c>
      <c r="AI197" s="1">
        <v>283</v>
      </c>
      <c r="AJ197" s="1">
        <v>0</v>
      </c>
      <c r="AK197" s="1">
        <v>1039</v>
      </c>
      <c r="AL197" s="1">
        <v>0</v>
      </c>
      <c r="AM197" s="1">
        <v>1391</v>
      </c>
      <c r="AN197" s="1">
        <v>0</v>
      </c>
      <c r="AO197" s="1">
        <v>868</v>
      </c>
      <c r="AP197" s="1">
        <v>0</v>
      </c>
      <c r="AQ197" s="1">
        <v>238</v>
      </c>
      <c r="AR197" s="1">
        <v>0</v>
      </c>
      <c r="AS197" s="1">
        <v>902</v>
      </c>
      <c r="AT197" s="1">
        <v>5</v>
      </c>
      <c r="AU197" s="1">
        <v>6655</v>
      </c>
      <c r="AV197" s="1">
        <v>0</v>
      </c>
      <c r="AW197" s="1">
        <v>3350</v>
      </c>
      <c r="AX197" s="1">
        <v>0</v>
      </c>
      <c r="AY197" s="1">
        <v>3070</v>
      </c>
      <c r="AZ197" s="1">
        <v>0</v>
      </c>
      <c r="BA197" s="1">
        <v>0</v>
      </c>
    </row>
    <row r="198" spans="1:53">
      <c r="A198" s="19">
        <v>55009</v>
      </c>
      <c r="B198" s="1">
        <v>2024</v>
      </c>
      <c r="C198" s="1">
        <v>15404</v>
      </c>
      <c r="D198" s="1">
        <v>0</v>
      </c>
      <c r="E198" s="1">
        <v>32</v>
      </c>
      <c r="F198" s="1">
        <v>0</v>
      </c>
      <c r="G198" s="1">
        <v>165</v>
      </c>
      <c r="H198" s="1">
        <v>1171</v>
      </c>
      <c r="I198" s="1">
        <v>1560</v>
      </c>
      <c r="J198" s="1">
        <v>2672</v>
      </c>
      <c r="K198" s="1">
        <v>1969</v>
      </c>
      <c r="L198" s="1">
        <v>0</v>
      </c>
      <c r="M198" s="1">
        <v>0</v>
      </c>
      <c r="N198" s="1">
        <v>0</v>
      </c>
      <c r="O198" s="1">
        <v>3</v>
      </c>
      <c r="P198" s="1">
        <v>19</v>
      </c>
      <c r="Q198" s="1">
        <v>187</v>
      </c>
      <c r="R198" s="1">
        <v>0</v>
      </c>
      <c r="S198" s="1">
        <v>529</v>
      </c>
      <c r="T198" s="1">
        <v>17</v>
      </c>
      <c r="U198" s="1">
        <v>269</v>
      </c>
      <c r="V198" s="1">
        <v>0</v>
      </c>
      <c r="W198" s="1">
        <v>151</v>
      </c>
      <c r="X198" s="1">
        <v>0</v>
      </c>
      <c r="Y198" s="1">
        <v>547</v>
      </c>
      <c r="Z198" s="1">
        <v>66</v>
      </c>
      <c r="AA198" s="1">
        <v>82</v>
      </c>
      <c r="AB198" s="1">
        <v>0</v>
      </c>
      <c r="AC198" s="1">
        <v>138</v>
      </c>
      <c r="AD198" s="1">
        <v>0</v>
      </c>
      <c r="AE198" s="1">
        <v>484</v>
      </c>
      <c r="AF198" s="1">
        <v>0</v>
      </c>
      <c r="AG198" s="1">
        <v>657</v>
      </c>
      <c r="AH198" s="1">
        <v>0</v>
      </c>
      <c r="AI198" s="1">
        <v>41</v>
      </c>
      <c r="AJ198" s="1">
        <v>0</v>
      </c>
      <c r="AK198" s="1">
        <v>846</v>
      </c>
      <c r="AL198" s="1">
        <v>0</v>
      </c>
      <c r="AM198" s="1">
        <v>78</v>
      </c>
      <c r="AN198" s="1">
        <v>0</v>
      </c>
      <c r="AO198" s="1">
        <v>88</v>
      </c>
      <c r="AP198" s="1">
        <v>0</v>
      </c>
      <c r="AQ198" s="1">
        <v>48</v>
      </c>
      <c r="AR198" s="1">
        <v>0</v>
      </c>
      <c r="AS198" s="1">
        <v>685</v>
      </c>
      <c r="AT198" s="1">
        <v>0</v>
      </c>
      <c r="AU198" s="1">
        <v>1589</v>
      </c>
      <c r="AV198" s="1">
        <v>0</v>
      </c>
      <c r="AW198" s="1">
        <v>571</v>
      </c>
      <c r="AX198" s="1">
        <v>0</v>
      </c>
      <c r="AY198" s="1">
        <v>697</v>
      </c>
      <c r="AZ198" s="1">
        <v>0</v>
      </c>
      <c r="BA198" s="1">
        <v>43</v>
      </c>
    </row>
    <row r="199" spans="1:53">
      <c r="A199" s="19">
        <v>56001</v>
      </c>
      <c r="B199" s="1">
        <v>2024</v>
      </c>
      <c r="C199" s="1">
        <v>28489</v>
      </c>
      <c r="D199" s="1">
        <v>0</v>
      </c>
      <c r="E199" s="1">
        <v>0</v>
      </c>
      <c r="F199" s="1">
        <v>26</v>
      </c>
      <c r="G199" s="1">
        <v>35</v>
      </c>
      <c r="H199" s="1">
        <v>813</v>
      </c>
      <c r="I199" s="1">
        <v>915</v>
      </c>
      <c r="J199" s="1">
        <v>743</v>
      </c>
      <c r="K199" s="1">
        <v>223</v>
      </c>
      <c r="L199" s="1">
        <v>0</v>
      </c>
      <c r="M199" s="1">
        <v>31</v>
      </c>
      <c r="N199" s="1">
        <v>6</v>
      </c>
      <c r="O199" s="1">
        <v>79</v>
      </c>
      <c r="P199" s="1">
        <v>0</v>
      </c>
      <c r="Q199" s="1">
        <v>276</v>
      </c>
      <c r="R199" s="1">
        <v>0</v>
      </c>
      <c r="S199" s="1">
        <v>392</v>
      </c>
      <c r="T199" s="1">
        <v>26</v>
      </c>
      <c r="U199" s="1">
        <v>458</v>
      </c>
      <c r="V199" s="1">
        <v>32</v>
      </c>
      <c r="W199" s="1">
        <v>401</v>
      </c>
      <c r="X199" s="1">
        <v>0</v>
      </c>
      <c r="Y199" s="1">
        <v>1667</v>
      </c>
      <c r="Z199" s="1">
        <v>0</v>
      </c>
      <c r="AA199" s="1">
        <v>568</v>
      </c>
      <c r="AB199" s="1">
        <v>0</v>
      </c>
      <c r="AC199" s="1">
        <v>62</v>
      </c>
      <c r="AD199" s="1">
        <v>0</v>
      </c>
      <c r="AE199" s="1">
        <v>647</v>
      </c>
      <c r="AF199" s="1">
        <v>0</v>
      </c>
      <c r="AG199" s="1">
        <v>1580</v>
      </c>
      <c r="AH199" s="1">
        <v>0</v>
      </c>
      <c r="AI199" s="1">
        <v>429</v>
      </c>
      <c r="AJ199" s="1">
        <v>0</v>
      </c>
      <c r="AK199" s="1">
        <v>876</v>
      </c>
      <c r="AL199" s="1">
        <v>0</v>
      </c>
      <c r="AM199" s="1">
        <v>2654</v>
      </c>
      <c r="AN199" s="1">
        <v>0</v>
      </c>
      <c r="AO199" s="1">
        <v>1648</v>
      </c>
      <c r="AP199" s="1">
        <v>0</v>
      </c>
      <c r="AQ199" s="1">
        <v>1110</v>
      </c>
      <c r="AR199" s="1">
        <v>0</v>
      </c>
      <c r="AS199" s="1">
        <v>1828</v>
      </c>
      <c r="AT199" s="1">
        <v>0</v>
      </c>
      <c r="AU199" s="1">
        <v>3533</v>
      </c>
      <c r="AV199" s="1">
        <v>0</v>
      </c>
      <c r="AW199" s="1">
        <v>3011</v>
      </c>
      <c r="AX199" s="1">
        <v>0</v>
      </c>
      <c r="AY199" s="1">
        <v>4420</v>
      </c>
      <c r="AZ199" s="1">
        <v>0</v>
      </c>
      <c r="BA199" s="1">
        <v>0</v>
      </c>
    </row>
    <row r="200" spans="1:53">
      <c r="A200" s="19">
        <v>56002</v>
      </c>
      <c r="B200" s="1">
        <v>2024</v>
      </c>
      <c r="C200" s="1">
        <v>32862</v>
      </c>
      <c r="D200" s="1">
        <v>0</v>
      </c>
      <c r="E200" s="1">
        <v>0</v>
      </c>
      <c r="F200" s="1">
        <v>583</v>
      </c>
      <c r="G200" s="1">
        <v>207</v>
      </c>
      <c r="H200" s="1">
        <v>1503</v>
      </c>
      <c r="I200" s="1">
        <v>1246</v>
      </c>
      <c r="J200" s="1">
        <v>221</v>
      </c>
      <c r="K200" s="1">
        <v>121</v>
      </c>
      <c r="L200" s="1">
        <v>100</v>
      </c>
      <c r="M200" s="1">
        <v>243</v>
      </c>
      <c r="N200" s="1">
        <v>99</v>
      </c>
      <c r="O200" s="1">
        <v>1345</v>
      </c>
      <c r="P200" s="1">
        <v>121</v>
      </c>
      <c r="Q200" s="1">
        <v>1934</v>
      </c>
      <c r="R200" s="1">
        <v>90</v>
      </c>
      <c r="S200" s="1">
        <v>1915</v>
      </c>
      <c r="T200" s="1">
        <v>11</v>
      </c>
      <c r="U200" s="1">
        <v>735</v>
      </c>
      <c r="V200" s="1">
        <v>91</v>
      </c>
      <c r="W200" s="1">
        <v>1809</v>
      </c>
      <c r="X200" s="1">
        <v>6</v>
      </c>
      <c r="Y200" s="1">
        <v>1814</v>
      </c>
      <c r="Z200" s="1">
        <v>0</v>
      </c>
      <c r="AA200" s="1">
        <v>86</v>
      </c>
      <c r="AB200" s="1">
        <v>0</v>
      </c>
      <c r="AC200" s="1">
        <v>274</v>
      </c>
      <c r="AD200" s="1">
        <v>0</v>
      </c>
      <c r="AE200" s="1">
        <v>1060</v>
      </c>
      <c r="AF200" s="1">
        <v>149</v>
      </c>
      <c r="AG200" s="1">
        <v>838</v>
      </c>
      <c r="AH200" s="1">
        <v>0</v>
      </c>
      <c r="AI200" s="1">
        <v>419</v>
      </c>
      <c r="AJ200" s="1">
        <v>193</v>
      </c>
      <c r="AK200" s="1">
        <v>1804</v>
      </c>
      <c r="AL200" s="1">
        <v>0</v>
      </c>
      <c r="AM200" s="1">
        <v>1378</v>
      </c>
      <c r="AN200" s="1">
        <v>0</v>
      </c>
      <c r="AO200" s="1">
        <v>974</v>
      </c>
      <c r="AP200" s="1">
        <v>0</v>
      </c>
      <c r="AQ200" s="1">
        <v>1335</v>
      </c>
      <c r="AR200" s="1">
        <v>0</v>
      </c>
      <c r="AS200" s="1">
        <v>2462</v>
      </c>
      <c r="AT200" s="1">
        <v>0</v>
      </c>
      <c r="AU200" s="1">
        <v>3740</v>
      </c>
      <c r="AV200" s="1">
        <v>0</v>
      </c>
      <c r="AW200" s="1">
        <v>1192</v>
      </c>
      <c r="AX200" s="1">
        <v>0</v>
      </c>
      <c r="AY200" s="1">
        <v>2763</v>
      </c>
      <c r="AZ200" s="1">
        <v>0</v>
      </c>
      <c r="BA200" s="1">
        <v>1</v>
      </c>
    </row>
    <row r="201" spans="1:53">
      <c r="A201" s="19">
        <v>56004</v>
      </c>
      <c r="B201" s="1">
        <v>2024</v>
      </c>
      <c r="C201" s="1">
        <v>16457</v>
      </c>
      <c r="D201" s="1">
        <v>0</v>
      </c>
      <c r="E201" s="1">
        <v>0</v>
      </c>
      <c r="F201" s="1">
        <v>611</v>
      </c>
      <c r="G201" s="1">
        <v>0</v>
      </c>
      <c r="H201" s="1">
        <v>622</v>
      </c>
      <c r="I201" s="1">
        <v>507</v>
      </c>
      <c r="J201" s="1">
        <v>258</v>
      </c>
      <c r="K201" s="1">
        <v>56</v>
      </c>
      <c r="L201" s="1">
        <v>0</v>
      </c>
      <c r="M201" s="1">
        <v>57</v>
      </c>
      <c r="N201" s="1">
        <v>23</v>
      </c>
      <c r="O201" s="1">
        <v>30</v>
      </c>
      <c r="P201" s="1">
        <v>64</v>
      </c>
      <c r="Q201" s="1">
        <v>74</v>
      </c>
      <c r="R201" s="1">
        <v>35</v>
      </c>
      <c r="S201" s="1">
        <v>438</v>
      </c>
      <c r="T201" s="1">
        <v>82</v>
      </c>
      <c r="U201" s="1">
        <v>378</v>
      </c>
      <c r="V201" s="1">
        <v>0</v>
      </c>
      <c r="W201" s="1">
        <v>339</v>
      </c>
      <c r="X201" s="1">
        <v>0</v>
      </c>
      <c r="Y201" s="1">
        <v>142</v>
      </c>
      <c r="Z201" s="1">
        <v>0</v>
      </c>
      <c r="AA201" s="1">
        <v>108</v>
      </c>
      <c r="AB201" s="1">
        <v>0</v>
      </c>
      <c r="AC201" s="1">
        <v>455</v>
      </c>
      <c r="AD201" s="1">
        <v>0</v>
      </c>
      <c r="AE201" s="1">
        <v>553</v>
      </c>
      <c r="AF201" s="1">
        <v>37</v>
      </c>
      <c r="AG201" s="1">
        <v>836</v>
      </c>
      <c r="AH201" s="1">
        <v>92</v>
      </c>
      <c r="AI201" s="1">
        <v>307</v>
      </c>
      <c r="AJ201" s="1">
        <v>0</v>
      </c>
      <c r="AK201" s="1">
        <v>1054</v>
      </c>
      <c r="AL201" s="1">
        <v>0</v>
      </c>
      <c r="AM201" s="1">
        <v>1898</v>
      </c>
      <c r="AN201" s="1">
        <v>0</v>
      </c>
      <c r="AO201" s="1">
        <v>571</v>
      </c>
      <c r="AP201" s="1">
        <v>0</v>
      </c>
      <c r="AQ201" s="1">
        <v>572</v>
      </c>
      <c r="AR201" s="1">
        <v>0</v>
      </c>
      <c r="AS201" s="1">
        <v>793</v>
      </c>
      <c r="AT201" s="1">
        <v>0</v>
      </c>
      <c r="AU201" s="1">
        <v>1952</v>
      </c>
      <c r="AV201" s="1">
        <v>0</v>
      </c>
      <c r="AW201" s="1">
        <v>1257</v>
      </c>
      <c r="AX201" s="1">
        <v>0</v>
      </c>
      <c r="AY201" s="1">
        <v>2110</v>
      </c>
      <c r="AZ201" s="1">
        <v>0</v>
      </c>
      <c r="BA201" s="1">
        <v>146</v>
      </c>
    </row>
    <row r="202" spans="1:53">
      <c r="A202" s="19">
        <v>56009</v>
      </c>
      <c r="B202" s="1">
        <v>2024</v>
      </c>
      <c r="C202" s="1">
        <v>17106</v>
      </c>
      <c r="D202" s="1">
        <v>0</v>
      </c>
      <c r="E202" s="1">
        <v>0</v>
      </c>
      <c r="F202" s="1">
        <v>0</v>
      </c>
      <c r="G202" s="1">
        <v>68</v>
      </c>
      <c r="H202" s="1">
        <v>713</v>
      </c>
      <c r="I202" s="1">
        <v>445</v>
      </c>
      <c r="J202" s="1">
        <v>628</v>
      </c>
      <c r="K202" s="1">
        <v>92</v>
      </c>
      <c r="L202" s="1">
        <v>0</v>
      </c>
      <c r="M202" s="1">
        <v>0</v>
      </c>
      <c r="N202" s="1">
        <v>0</v>
      </c>
      <c r="O202" s="1">
        <v>51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308</v>
      </c>
      <c r="V202" s="1">
        <v>0</v>
      </c>
      <c r="W202" s="1">
        <v>469</v>
      </c>
      <c r="X202" s="1">
        <v>0</v>
      </c>
      <c r="Y202" s="1">
        <v>555</v>
      </c>
      <c r="Z202" s="1">
        <v>156</v>
      </c>
      <c r="AA202" s="1">
        <v>899</v>
      </c>
      <c r="AB202" s="1">
        <v>182</v>
      </c>
      <c r="AC202" s="1">
        <v>302</v>
      </c>
      <c r="AD202" s="1">
        <v>182</v>
      </c>
      <c r="AE202" s="1">
        <v>303</v>
      </c>
      <c r="AF202" s="1">
        <v>0</v>
      </c>
      <c r="AG202" s="1">
        <v>597</v>
      </c>
      <c r="AH202" s="1">
        <v>0</v>
      </c>
      <c r="AI202" s="1">
        <v>717</v>
      </c>
      <c r="AJ202" s="1">
        <v>0</v>
      </c>
      <c r="AK202" s="1">
        <v>502</v>
      </c>
      <c r="AL202" s="1">
        <v>0</v>
      </c>
      <c r="AM202" s="1">
        <v>760</v>
      </c>
      <c r="AN202" s="1">
        <v>0</v>
      </c>
      <c r="AO202" s="1">
        <v>456</v>
      </c>
      <c r="AP202" s="1">
        <v>0</v>
      </c>
      <c r="AQ202" s="1">
        <v>487</v>
      </c>
      <c r="AR202" s="1">
        <v>0</v>
      </c>
      <c r="AS202" s="1">
        <v>1223</v>
      </c>
      <c r="AT202" s="1">
        <v>0</v>
      </c>
      <c r="AU202" s="1">
        <v>3328</v>
      </c>
      <c r="AV202" s="1">
        <v>0</v>
      </c>
      <c r="AW202" s="1">
        <v>1945</v>
      </c>
      <c r="AX202" s="1">
        <v>0</v>
      </c>
      <c r="AY202" s="1">
        <v>1649</v>
      </c>
      <c r="AZ202" s="1">
        <v>0</v>
      </c>
      <c r="BA202" s="1">
        <v>89</v>
      </c>
    </row>
    <row r="203" spans="1:53">
      <c r="A203" s="19">
        <v>56010</v>
      </c>
      <c r="B203" s="1">
        <v>2024</v>
      </c>
      <c r="C203" s="1">
        <v>10677</v>
      </c>
      <c r="D203" s="1">
        <v>0</v>
      </c>
      <c r="E203" s="1">
        <v>0</v>
      </c>
      <c r="F203" s="1">
        <v>6</v>
      </c>
      <c r="G203" s="1">
        <v>17</v>
      </c>
      <c r="H203" s="1">
        <v>219</v>
      </c>
      <c r="I203" s="1">
        <v>417</v>
      </c>
      <c r="J203" s="1">
        <v>123</v>
      </c>
      <c r="K203" s="1">
        <v>30</v>
      </c>
      <c r="L203" s="1">
        <v>0</v>
      </c>
      <c r="M203" s="1">
        <v>0</v>
      </c>
      <c r="N203" s="1">
        <v>0</v>
      </c>
      <c r="O203" s="1">
        <v>106</v>
      </c>
      <c r="P203" s="1">
        <v>0</v>
      </c>
      <c r="Q203" s="1">
        <v>129</v>
      </c>
      <c r="R203" s="1">
        <v>0</v>
      </c>
      <c r="S203" s="1">
        <v>52</v>
      </c>
      <c r="T203" s="1">
        <v>6</v>
      </c>
      <c r="U203" s="1">
        <v>0</v>
      </c>
      <c r="V203" s="1">
        <v>0</v>
      </c>
      <c r="W203" s="1">
        <v>0</v>
      </c>
      <c r="X203" s="1">
        <v>58</v>
      </c>
      <c r="Y203" s="1">
        <v>257</v>
      </c>
      <c r="Z203" s="1">
        <v>84</v>
      </c>
      <c r="AA203" s="1">
        <v>64</v>
      </c>
      <c r="AB203" s="1">
        <v>80</v>
      </c>
      <c r="AC203" s="1">
        <v>9</v>
      </c>
      <c r="AD203" s="1">
        <v>0</v>
      </c>
      <c r="AE203" s="1">
        <v>40</v>
      </c>
      <c r="AF203" s="1">
        <v>0</v>
      </c>
      <c r="AG203" s="1">
        <v>743</v>
      </c>
      <c r="AH203" s="1">
        <v>0</v>
      </c>
      <c r="AI203" s="1">
        <v>0</v>
      </c>
      <c r="AJ203" s="1">
        <v>0</v>
      </c>
      <c r="AK203" s="1">
        <v>458</v>
      </c>
      <c r="AL203" s="1">
        <v>0</v>
      </c>
      <c r="AM203" s="1">
        <v>137</v>
      </c>
      <c r="AN203" s="1">
        <v>0</v>
      </c>
      <c r="AO203" s="1">
        <v>231</v>
      </c>
      <c r="AP203" s="1">
        <v>0</v>
      </c>
      <c r="AQ203" s="1">
        <v>724</v>
      </c>
      <c r="AR203" s="1">
        <v>0</v>
      </c>
      <c r="AS203" s="1">
        <v>715</v>
      </c>
      <c r="AT203" s="1">
        <v>0</v>
      </c>
      <c r="AU203" s="1">
        <v>3659</v>
      </c>
      <c r="AV203" s="1">
        <v>0</v>
      </c>
      <c r="AW203" s="1">
        <v>682</v>
      </c>
      <c r="AX203" s="1">
        <v>0</v>
      </c>
      <c r="AY203" s="1">
        <v>1631</v>
      </c>
      <c r="AZ203" s="1">
        <v>0</v>
      </c>
      <c r="BA203" s="1">
        <v>0</v>
      </c>
    </row>
    <row r="204" spans="1:53">
      <c r="A204" s="19">
        <v>56011</v>
      </c>
      <c r="B204" s="1">
        <v>2024</v>
      </c>
      <c r="C204" s="1">
        <v>16594</v>
      </c>
      <c r="D204" s="1">
        <v>0</v>
      </c>
      <c r="E204" s="1">
        <v>0</v>
      </c>
      <c r="F204" s="1">
        <v>0</v>
      </c>
      <c r="G204" s="1">
        <v>19</v>
      </c>
      <c r="H204" s="1">
        <v>234</v>
      </c>
      <c r="I204" s="1">
        <v>324</v>
      </c>
      <c r="J204" s="1">
        <v>91</v>
      </c>
      <c r="K204" s="1">
        <v>135</v>
      </c>
      <c r="L204" s="1">
        <v>0</v>
      </c>
      <c r="M204" s="1">
        <v>160</v>
      </c>
      <c r="N204" s="1">
        <v>0</v>
      </c>
      <c r="O204" s="1">
        <v>485</v>
      </c>
      <c r="P204" s="1">
        <v>198</v>
      </c>
      <c r="Q204" s="1">
        <v>504</v>
      </c>
      <c r="R204" s="1">
        <v>0</v>
      </c>
      <c r="S204" s="1">
        <v>113</v>
      </c>
      <c r="T204" s="1">
        <v>0</v>
      </c>
      <c r="U204" s="1">
        <v>168</v>
      </c>
      <c r="V204" s="1">
        <v>60</v>
      </c>
      <c r="W204" s="1">
        <v>27</v>
      </c>
      <c r="X204" s="1">
        <v>0</v>
      </c>
      <c r="Y204" s="1">
        <v>838</v>
      </c>
      <c r="Z204" s="1">
        <v>0</v>
      </c>
      <c r="AA204" s="1">
        <v>7</v>
      </c>
      <c r="AB204" s="1">
        <v>99</v>
      </c>
      <c r="AC204" s="1">
        <v>517</v>
      </c>
      <c r="AD204" s="1">
        <v>0</v>
      </c>
      <c r="AE204" s="1">
        <v>130</v>
      </c>
      <c r="AF204" s="1">
        <v>33</v>
      </c>
      <c r="AG204" s="1">
        <v>990</v>
      </c>
      <c r="AH204" s="1">
        <v>0</v>
      </c>
      <c r="AI204" s="1">
        <v>125</v>
      </c>
      <c r="AJ204" s="1">
        <v>0</v>
      </c>
      <c r="AK204" s="1">
        <v>77</v>
      </c>
      <c r="AL204" s="1">
        <v>0</v>
      </c>
      <c r="AM204" s="1">
        <v>156</v>
      </c>
      <c r="AN204" s="1">
        <v>0</v>
      </c>
      <c r="AO204" s="1">
        <v>1313</v>
      </c>
      <c r="AP204" s="1">
        <v>0</v>
      </c>
      <c r="AQ204" s="1">
        <v>366</v>
      </c>
      <c r="AR204" s="1">
        <v>0</v>
      </c>
      <c r="AS204" s="1">
        <v>960</v>
      </c>
      <c r="AT204" s="1">
        <v>0</v>
      </c>
      <c r="AU204" s="1">
        <v>3931</v>
      </c>
      <c r="AV204" s="1">
        <v>0</v>
      </c>
      <c r="AW204" s="1">
        <v>1973</v>
      </c>
      <c r="AX204" s="1">
        <v>0</v>
      </c>
      <c r="AY204" s="1">
        <v>2561</v>
      </c>
      <c r="AZ204" s="1">
        <v>0</v>
      </c>
      <c r="BA204" s="1">
        <v>0</v>
      </c>
    </row>
    <row r="205" spans="1:53">
      <c r="A205" s="19">
        <v>57001</v>
      </c>
      <c r="B205" s="1">
        <v>2024</v>
      </c>
      <c r="C205" s="1">
        <v>22070</v>
      </c>
      <c r="D205" s="1">
        <v>0</v>
      </c>
      <c r="E205" s="1">
        <v>0</v>
      </c>
      <c r="F205" s="1">
        <v>14</v>
      </c>
      <c r="G205" s="1">
        <v>187</v>
      </c>
      <c r="H205" s="1">
        <v>402</v>
      </c>
      <c r="I205" s="1">
        <v>1144</v>
      </c>
      <c r="J205" s="1">
        <v>501</v>
      </c>
      <c r="K205" s="1">
        <v>636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84</v>
      </c>
      <c r="R205" s="1">
        <v>0</v>
      </c>
      <c r="S205" s="1">
        <v>62</v>
      </c>
      <c r="T205" s="1">
        <v>10</v>
      </c>
      <c r="U205" s="1">
        <v>227</v>
      </c>
      <c r="V205" s="1">
        <v>0</v>
      </c>
      <c r="W205" s="1">
        <v>540</v>
      </c>
      <c r="X205" s="1">
        <v>0</v>
      </c>
      <c r="Y205" s="1">
        <v>783</v>
      </c>
      <c r="Z205" s="1">
        <v>0</v>
      </c>
      <c r="AA205" s="1">
        <v>115</v>
      </c>
      <c r="AB205" s="1">
        <v>0</v>
      </c>
      <c r="AC205" s="1">
        <v>0</v>
      </c>
      <c r="AD205" s="1">
        <v>0</v>
      </c>
      <c r="AE205" s="1">
        <v>801</v>
      </c>
      <c r="AF205" s="1">
        <v>0</v>
      </c>
      <c r="AG205" s="1">
        <v>1315</v>
      </c>
      <c r="AH205" s="1">
        <v>0</v>
      </c>
      <c r="AI205" s="1">
        <v>270</v>
      </c>
      <c r="AJ205" s="1">
        <v>0</v>
      </c>
      <c r="AK205" s="1">
        <v>979</v>
      </c>
      <c r="AL205" s="1">
        <v>0</v>
      </c>
      <c r="AM205" s="1">
        <v>1373</v>
      </c>
      <c r="AN205" s="1">
        <v>0</v>
      </c>
      <c r="AO205" s="1">
        <v>1334</v>
      </c>
      <c r="AP205" s="1">
        <v>0</v>
      </c>
      <c r="AQ205" s="1">
        <v>353</v>
      </c>
      <c r="AR205" s="1">
        <v>0</v>
      </c>
      <c r="AS205" s="1">
        <v>1395</v>
      </c>
      <c r="AT205" s="1">
        <v>0</v>
      </c>
      <c r="AU205" s="1">
        <v>5011</v>
      </c>
      <c r="AV205" s="1">
        <v>0</v>
      </c>
      <c r="AW205" s="1">
        <v>1107</v>
      </c>
      <c r="AX205" s="1">
        <v>0</v>
      </c>
      <c r="AY205" s="1">
        <v>3427</v>
      </c>
      <c r="AZ205" s="1">
        <v>0</v>
      </c>
      <c r="BA205" s="1">
        <v>0</v>
      </c>
    </row>
    <row r="206" spans="1:53">
      <c r="A206" s="19">
        <v>57002</v>
      </c>
      <c r="B206" s="1">
        <v>2024</v>
      </c>
      <c r="C206" s="1">
        <v>12455</v>
      </c>
      <c r="D206" s="1">
        <v>0</v>
      </c>
      <c r="E206" s="1">
        <v>0</v>
      </c>
      <c r="F206" s="1">
        <v>12</v>
      </c>
      <c r="G206" s="1">
        <v>0</v>
      </c>
      <c r="H206" s="1">
        <v>236</v>
      </c>
      <c r="I206" s="1">
        <v>166</v>
      </c>
      <c r="J206" s="1">
        <v>311</v>
      </c>
      <c r="K206" s="1">
        <v>16</v>
      </c>
      <c r="L206" s="1">
        <v>73</v>
      </c>
      <c r="M206" s="1">
        <v>11</v>
      </c>
      <c r="N206" s="1">
        <v>0</v>
      </c>
      <c r="O206" s="1">
        <v>79</v>
      </c>
      <c r="P206" s="1">
        <v>0</v>
      </c>
      <c r="Q206" s="1">
        <v>176</v>
      </c>
      <c r="R206" s="1">
        <v>0</v>
      </c>
      <c r="S206" s="1">
        <v>166</v>
      </c>
      <c r="T206" s="1">
        <v>0</v>
      </c>
      <c r="U206" s="1">
        <v>186</v>
      </c>
      <c r="V206" s="1">
        <v>0</v>
      </c>
      <c r="W206" s="1">
        <v>56</v>
      </c>
      <c r="X206" s="1">
        <v>0</v>
      </c>
      <c r="Y206" s="1">
        <v>354</v>
      </c>
      <c r="Z206" s="1">
        <v>0</v>
      </c>
      <c r="AA206" s="1">
        <v>6</v>
      </c>
      <c r="AB206" s="1">
        <v>0</v>
      </c>
      <c r="AC206" s="1">
        <v>22</v>
      </c>
      <c r="AD206" s="1">
        <v>0</v>
      </c>
      <c r="AE206" s="1">
        <v>171</v>
      </c>
      <c r="AF206" s="1">
        <v>0</v>
      </c>
      <c r="AG206" s="1">
        <v>313</v>
      </c>
      <c r="AH206" s="1">
        <v>0</v>
      </c>
      <c r="AI206" s="1">
        <v>162</v>
      </c>
      <c r="AJ206" s="1">
        <v>0</v>
      </c>
      <c r="AK206" s="1">
        <v>152</v>
      </c>
      <c r="AL206" s="1">
        <v>0</v>
      </c>
      <c r="AM206" s="1">
        <v>548</v>
      </c>
      <c r="AN206" s="1">
        <v>0</v>
      </c>
      <c r="AO206" s="1">
        <v>775</v>
      </c>
      <c r="AP206" s="1">
        <v>0</v>
      </c>
      <c r="AQ206" s="1">
        <v>2143</v>
      </c>
      <c r="AR206" s="1">
        <v>0</v>
      </c>
      <c r="AS206" s="1">
        <v>1324</v>
      </c>
      <c r="AT206" s="1">
        <v>0</v>
      </c>
      <c r="AU206" s="1">
        <v>3669</v>
      </c>
      <c r="AV206" s="1">
        <v>0</v>
      </c>
      <c r="AW206" s="1">
        <v>385</v>
      </c>
      <c r="AX206" s="1">
        <v>0</v>
      </c>
      <c r="AY206" s="1">
        <v>943</v>
      </c>
      <c r="AZ206" s="1">
        <v>0</v>
      </c>
      <c r="BA206" s="1">
        <v>0</v>
      </c>
    </row>
    <row r="207" spans="1:53">
      <c r="A207" s="19">
        <v>58001</v>
      </c>
      <c r="B207" s="1">
        <v>2024</v>
      </c>
      <c r="C207" s="1">
        <v>14181</v>
      </c>
      <c r="D207" s="1">
        <v>0</v>
      </c>
      <c r="E207" s="1">
        <v>0</v>
      </c>
      <c r="F207" s="1">
        <v>0</v>
      </c>
      <c r="G207" s="1">
        <v>133</v>
      </c>
      <c r="H207" s="1">
        <v>179</v>
      </c>
      <c r="I207" s="1">
        <v>685</v>
      </c>
      <c r="J207" s="1">
        <v>248</v>
      </c>
      <c r="K207" s="1">
        <v>121</v>
      </c>
      <c r="L207" s="1">
        <v>0</v>
      </c>
      <c r="M207" s="1">
        <v>0</v>
      </c>
      <c r="N207" s="1">
        <v>106</v>
      </c>
      <c r="O207" s="1">
        <v>384</v>
      </c>
      <c r="P207" s="1">
        <v>192</v>
      </c>
      <c r="Q207" s="1">
        <v>577</v>
      </c>
      <c r="R207" s="1">
        <v>14</v>
      </c>
      <c r="S207" s="1">
        <v>26</v>
      </c>
      <c r="T207" s="1">
        <v>0</v>
      </c>
      <c r="U207" s="1">
        <v>288</v>
      </c>
      <c r="V207" s="1">
        <v>67</v>
      </c>
      <c r="W207" s="1">
        <v>1097</v>
      </c>
      <c r="X207" s="1">
        <v>0</v>
      </c>
      <c r="Y207" s="1">
        <v>529</v>
      </c>
      <c r="Z207" s="1">
        <v>0</v>
      </c>
      <c r="AA207" s="1">
        <v>147</v>
      </c>
      <c r="AB207" s="1">
        <v>4</v>
      </c>
      <c r="AC207" s="1">
        <v>24</v>
      </c>
      <c r="AD207" s="1">
        <v>1</v>
      </c>
      <c r="AE207" s="1">
        <v>493</v>
      </c>
      <c r="AF207" s="1">
        <v>7</v>
      </c>
      <c r="AG207" s="1">
        <v>379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518</v>
      </c>
      <c r="AN207" s="1">
        <v>0</v>
      </c>
      <c r="AO207" s="1">
        <v>645</v>
      </c>
      <c r="AP207" s="1">
        <v>0</v>
      </c>
      <c r="AQ207" s="1">
        <v>909</v>
      </c>
      <c r="AR207" s="1">
        <v>0</v>
      </c>
      <c r="AS207" s="1">
        <v>2189</v>
      </c>
      <c r="AT207" s="1">
        <v>0</v>
      </c>
      <c r="AU207" s="1">
        <v>2681</v>
      </c>
      <c r="AV207" s="1">
        <v>0</v>
      </c>
      <c r="AW207" s="1">
        <v>706</v>
      </c>
      <c r="AX207" s="1">
        <v>0</v>
      </c>
      <c r="AY207" s="1">
        <v>832</v>
      </c>
      <c r="AZ207" s="1">
        <v>0</v>
      </c>
      <c r="BA207" s="1">
        <v>0</v>
      </c>
    </row>
    <row r="208" spans="1:53">
      <c r="A208" s="19">
        <v>59001</v>
      </c>
      <c r="B208" s="1">
        <v>2024</v>
      </c>
      <c r="C208" s="1">
        <v>20496</v>
      </c>
      <c r="D208" s="1">
        <v>0</v>
      </c>
      <c r="E208" s="1">
        <v>0</v>
      </c>
      <c r="F208" s="1">
        <v>516</v>
      </c>
      <c r="G208" s="1">
        <v>30</v>
      </c>
      <c r="H208" s="1">
        <v>861</v>
      </c>
      <c r="I208" s="1">
        <v>868</v>
      </c>
      <c r="J208" s="1">
        <v>207</v>
      </c>
      <c r="K208" s="1">
        <v>25</v>
      </c>
      <c r="L208" s="1">
        <v>0</v>
      </c>
      <c r="M208" s="1">
        <v>125</v>
      </c>
      <c r="N208" s="1">
        <v>0</v>
      </c>
      <c r="O208" s="1">
        <v>312</v>
      </c>
      <c r="P208" s="1">
        <v>0</v>
      </c>
      <c r="Q208" s="1">
        <v>1072</v>
      </c>
      <c r="R208" s="1">
        <v>0</v>
      </c>
      <c r="S208" s="1">
        <v>135</v>
      </c>
      <c r="T208" s="1">
        <v>0</v>
      </c>
      <c r="U208" s="1">
        <v>249</v>
      </c>
      <c r="V208" s="1">
        <v>0</v>
      </c>
      <c r="W208" s="1">
        <v>583</v>
      </c>
      <c r="X208" s="1">
        <v>0</v>
      </c>
      <c r="Y208" s="1">
        <v>2241</v>
      </c>
      <c r="Z208" s="1">
        <v>0</v>
      </c>
      <c r="AA208" s="1">
        <v>0</v>
      </c>
      <c r="AB208" s="1">
        <v>0</v>
      </c>
      <c r="AC208" s="1">
        <v>226</v>
      </c>
      <c r="AD208" s="1">
        <v>0</v>
      </c>
      <c r="AE208" s="1">
        <v>520</v>
      </c>
      <c r="AF208" s="1">
        <v>0</v>
      </c>
      <c r="AG208" s="1">
        <v>2009</v>
      </c>
      <c r="AH208" s="1">
        <v>0</v>
      </c>
      <c r="AI208" s="1">
        <v>20</v>
      </c>
      <c r="AJ208" s="1">
        <v>0</v>
      </c>
      <c r="AK208" s="1">
        <v>564</v>
      </c>
      <c r="AL208" s="1">
        <v>0</v>
      </c>
      <c r="AM208" s="1">
        <v>511</v>
      </c>
      <c r="AN208" s="1">
        <v>0</v>
      </c>
      <c r="AO208" s="1">
        <v>453</v>
      </c>
      <c r="AP208" s="1">
        <v>0</v>
      </c>
      <c r="AQ208" s="1">
        <v>976</v>
      </c>
      <c r="AR208" s="1">
        <v>0</v>
      </c>
      <c r="AS208" s="1">
        <v>1031</v>
      </c>
      <c r="AT208" s="1">
        <v>0</v>
      </c>
      <c r="AU208" s="1">
        <v>5267</v>
      </c>
      <c r="AV208" s="1">
        <v>0</v>
      </c>
      <c r="AW208" s="1">
        <v>741</v>
      </c>
      <c r="AX208" s="1">
        <v>0</v>
      </c>
      <c r="AY208" s="1">
        <v>910</v>
      </c>
      <c r="AZ208" s="1">
        <v>0</v>
      </c>
      <c r="BA208" s="1">
        <v>44</v>
      </c>
    </row>
    <row r="209" spans="1:103">
      <c r="A209" s="19">
        <v>59003</v>
      </c>
      <c r="B209" s="1">
        <v>2024</v>
      </c>
      <c r="C209" s="1">
        <v>17468</v>
      </c>
      <c r="D209" s="1">
        <v>0</v>
      </c>
      <c r="E209" s="1">
        <v>0</v>
      </c>
      <c r="F209" s="1">
        <v>476</v>
      </c>
      <c r="G209" s="1">
        <v>0</v>
      </c>
      <c r="H209" s="1">
        <v>310</v>
      </c>
      <c r="I209" s="1">
        <v>516</v>
      </c>
      <c r="J209" s="1">
        <v>181</v>
      </c>
      <c r="K209" s="1">
        <v>29</v>
      </c>
      <c r="L209" s="1">
        <v>0</v>
      </c>
      <c r="M209" s="1">
        <v>0</v>
      </c>
      <c r="N209" s="1">
        <v>64</v>
      </c>
      <c r="O209" s="1">
        <v>191</v>
      </c>
      <c r="P209" s="1">
        <v>44</v>
      </c>
      <c r="Q209" s="1">
        <v>135</v>
      </c>
      <c r="R209" s="1">
        <v>37</v>
      </c>
      <c r="S209" s="1">
        <v>0</v>
      </c>
      <c r="T209" s="1">
        <v>0</v>
      </c>
      <c r="U209" s="1">
        <v>322</v>
      </c>
      <c r="V209" s="1">
        <v>155</v>
      </c>
      <c r="W209" s="1">
        <v>336</v>
      </c>
      <c r="X209" s="1">
        <v>0</v>
      </c>
      <c r="Y209" s="1">
        <v>1174</v>
      </c>
      <c r="Z209" s="1">
        <v>0</v>
      </c>
      <c r="AA209" s="1">
        <v>0</v>
      </c>
      <c r="AB209" s="1">
        <v>0</v>
      </c>
      <c r="AC209" s="1">
        <v>110</v>
      </c>
      <c r="AD209" s="1">
        <v>0</v>
      </c>
      <c r="AE209" s="1">
        <v>331</v>
      </c>
      <c r="AF209" s="1">
        <v>0</v>
      </c>
      <c r="AG209" s="1">
        <v>666</v>
      </c>
      <c r="AH209" s="1">
        <v>78</v>
      </c>
      <c r="AI209" s="1">
        <v>364</v>
      </c>
      <c r="AJ209" s="1">
        <v>0</v>
      </c>
      <c r="AK209" s="1">
        <v>571</v>
      </c>
      <c r="AL209" s="1">
        <v>183</v>
      </c>
      <c r="AM209" s="1">
        <v>1512</v>
      </c>
      <c r="AN209" s="1">
        <v>0</v>
      </c>
      <c r="AO209" s="1">
        <v>355</v>
      </c>
      <c r="AP209" s="1">
        <v>0</v>
      </c>
      <c r="AQ209" s="1">
        <v>517</v>
      </c>
      <c r="AR209" s="1">
        <v>0</v>
      </c>
      <c r="AS209" s="1">
        <v>815</v>
      </c>
      <c r="AT209" s="1">
        <v>162</v>
      </c>
      <c r="AU209" s="1">
        <v>4675</v>
      </c>
      <c r="AV209" s="1">
        <v>50</v>
      </c>
      <c r="AW209" s="1">
        <v>2001</v>
      </c>
      <c r="AX209" s="1">
        <v>0</v>
      </c>
      <c r="AY209" s="1">
        <v>911</v>
      </c>
      <c r="AZ209" s="1">
        <v>0</v>
      </c>
      <c r="BA209" s="1">
        <v>197</v>
      </c>
    </row>
    <row r="210" spans="1:103">
      <c r="A210" s="19">
        <v>60001</v>
      </c>
      <c r="B210" s="1">
        <v>2024</v>
      </c>
      <c r="C210" s="1">
        <v>14806</v>
      </c>
      <c r="D210" s="1">
        <v>0</v>
      </c>
      <c r="E210" s="1">
        <v>0</v>
      </c>
      <c r="F210" s="1">
        <v>137</v>
      </c>
      <c r="G210" s="1">
        <v>14</v>
      </c>
      <c r="H210" s="1">
        <v>29</v>
      </c>
      <c r="I210" s="1">
        <v>331</v>
      </c>
      <c r="J210" s="1">
        <v>9</v>
      </c>
      <c r="K210" s="1">
        <v>7</v>
      </c>
      <c r="L210" s="1">
        <v>0</v>
      </c>
      <c r="M210" s="1">
        <v>0</v>
      </c>
      <c r="N210" s="1">
        <v>7</v>
      </c>
      <c r="O210" s="1">
        <v>115</v>
      </c>
      <c r="P210" s="1">
        <v>7</v>
      </c>
      <c r="Q210" s="1">
        <v>298</v>
      </c>
      <c r="R210" s="1">
        <v>0</v>
      </c>
      <c r="S210" s="1">
        <v>278</v>
      </c>
      <c r="T210" s="1">
        <v>0</v>
      </c>
      <c r="U210" s="1">
        <v>45</v>
      </c>
      <c r="V210" s="1">
        <v>0</v>
      </c>
      <c r="W210" s="1">
        <v>389</v>
      </c>
      <c r="X210" s="1">
        <v>0</v>
      </c>
      <c r="Y210" s="1">
        <v>303</v>
      </c>
      <c r="Z210" s="1">
        <v>0</v>
      </c>
      <c r="AA210" s="1">
        <v>102</v>
      </c>
      <c r="AB210" s="1">
        <v>0</v>
      </c>
      <c r="AC210" s="1">
        <v>64</v>
      </c>
      <c r="AD210" s="1">
        <v>0</v>
      </c>
      <c r="AE210" s="1">
        <v>364</v>
      </c>
      <c r="AF210" s="1">
        <v>160</v>
      </c>
      <c r="AG210" s="1">
        <v>758</v>
      </c>
      <c r="AH210" s="1">
        <v>20</v>
      </c>
      <c r="AI210" s="1">
        <v>42</v>
      </c>
      <c r="AJ210" s="1">
        <v>0</v>
      </c>
      <c r="AK210" s="1">
        <v>594</v>
      </c>
      <c r="AL210" s="1">
        <v>92</v>
      </c>
      <c r="AM210" s="1">
        <v>659</v>
      </c>
      <c r="AN210" s="1">
        <v>252</v>
      </c>
      <c r="AO210" s="1">
        <v>1066</v>
      </c>
      <c r="AP210" s="1">
        <v>0</v>
      </c>
      <c r="AQ210" s="1">
        <v>1405</v>
      </c>
      <c r="AR210" s="1">
        <v>0</v>
      </c>
      <c r="AS210" s="1">
        <v>1022</v>
      </c>
      <c r="AT210" s="1">
        <v>293</v>
      </c>
      <c r="AU210" s="1">
        <v>2916</v>
      </c>
      <c r="AV210" s="1">
        <v>92</v>
      </c>
      <c r="AW210" s="1">
        <v>1021</v>
      </c>
      <c r="AX210" s="1">
        <v>536</v>
      </c>
      <c r="AY210" s="1">
        <v>1379</v>
      </c>
      <c r="AZ210" s="1">
        <v>0</v>
      </c>
      <c r="BA210" s="1">
        <v>0</v>
      </c>
    </row>
    <row r="211" spans="1:103">
      <c r="A211" s="19">
        <v>60003</v>
      </c>
      <c r="B211" s="1">
        <v>2024</v>
      </c>
      <c r="C211" s="1">
        <v>33892</v>
      </c>
      <c r="D211" s="1">
        <v>0</v>
      </c>
      <c r="E211" s="1">
        <v>0</v>
      </c>
      <c r="F211" s="1">
        <v>132</v>
      </c>
      <c r="G211" s="1">
        <v>183</v>
      </c>
      <c r="H211" s="1">
        <v>1700</v>
      </c>
      <c r="I211" s="1">
        <v>1246</v>
      </c>
      <c r="J211" s="1">
        <v>108</v>
      </c>
      <c r="K211" s="1">
        <v>24</v>
      </c>
      <c r="L211" s="1">
        <v>12</v>
      </c>
      <c r="M211" s="1">
        <v>819</v>
      </c>
      <c r="N211" s="1">
        <v>224</v>
      </c>
      <c r="O211" s="1">
        <v>2682</v>
      </c>
      <c r="P211" s="1">
        <v>313</v>
      </c>
      <c r="Q211" s="1">
        <v>1612</v>
      </c>
      <c r="R211" s="1">
        <v>9</v>
      </c>
      <c r="S211" s="1">
        <v>379</v>
      </c>
      <c r="T211" s="1">
        <v>74</v>
      </c>
      <c r="U211" s="1">
        <v>451</v>
      </c>
      <c r="V211" s="1">
        <v>70</v>
      </c>
      <c r="W211" s="1">
        <v>1214</v>
      </c>
      <c r="X211" s="1">
        <v>290</v>
      </c>
      <c r="Y211" s="1">
        <v>1255</v>
      </c>
      <c r="Z211" s="1">
        <v>45</v>
      </c>
      <c r="AA211" s="1">
        <v>183</v>
      </c>
      <c r="AB211" s="1">
        <v>102</v>
      </c>
      <c r="AC211" s="1">
        <v>434</v>
      </c>
      <c r="AD211" s="1">
        <v>275</v>
      </c>
      <c r="AE211" s="1">
        <v>875</v>
      </c>
      <c r="AF211" s="1">
        <v>0</v>
      </c>
      <c r="AG211" s="1">
        <v>361</v>
      </c>
      <c r="AH211" s="1">
        <v>0</v>
      </c>
      <c r="AI211" s="1">
        <v>91</v>
      </c>
      <c r="AJ211" s="1">
        <v>478</v>
      </c>
      <c r="AK211" s="1">
        <v>1064</v>
      </c>
      <c r="AL211" s="1">
        <v>0</v>
      </c>
      <c r="AM211" s="1">
        <v>1043</v>
      </c>
      <c r="AN211" s="1">
        <v>0</v>
      </c>
      <c r="AO211" s="1">
        <v>1160</v>
      </c>
      <c r="AP211" s="1">
        <v>752</v>
      </c>
      <c r="AQ211" s="1">
        <v>1150</v>
      </c>
      <c r="AR211" s="1">
        <v>865</v>
      </c>
      <c r="AS211" s="1">
        <v>3505</v>
      </c>
      <c r="AT211" s="1">
        <v>1623</v>
      </c>
      <c r="AU211" s="1">
        <v>4267</v>
      </c>
      <c r="AV211" s="1">
        <v>153</v>
      </c>
      <c r="AW211" s="1">
        <v>920</v>
      </c>
      <c r="AX211" s="1">
        <v>0</v>
      </c>
      <c r="AY211" s="1">
        <v>1749</v>
      </c>
      <c r="AZ211" s="1">
        <v>0</v>
      </c>
      <c r="BA211" s="1">
        <v>0</v>
      </c>
    </row>
    <row r="212" spans="1:103">
      <c r="A212" s="19">
        <v>60006</v>
      </c>
      <c r="B212" s="1">
        <v>2024</v>
      </c>
      <c r="C212" s="1">
        <v>15981</v>
      </c>
      <c r="D212" s="1">
        <v>0</v>
      </c>
      <c r="E212" s="1">
        <v>0</v>
      </c>
      <c r="F212" s="1">
        <v>0</v>
      </c>
      <c r="G212" s="1">
        <v>287</v>
      </c>
      <c r="H212" s="1">
        <v>656</v>
      </c>
      <c r="I212" s="1">
        <v>300</v>
      </c>
      <c r="J212" s="1">
        <v>17</v>
      </c>
      <c r="K212" s="1">
        <v>25</v>
      </c>
      <c r="L212" s="1">
        <v>0</v>
      </c>
      <c r="M212" s="1">
        <v>737</v>
      </c>
      <c r="N212" s="1">
        <v>0</v>
      </c>
      <c r="O212" s="1">
        <v>179</v>
      </c>
      <c r="P212" s="1">
        <v>0</v>
      </c>
      <c r="Q212" s="1">
        <v>1772</v>
      </c>
      <c r="R212" s="1">
        <v>0</v>
      </c>
      <c r="S212" s="1">
        <v>92</v>
      </c>
      <c r="T212" s="1">
        <v>0</v>
      </c>
      <c r="U212" s="1">
        <v>855</v>
      </c>
      <c r="V212" s="1">
        <v>0</v>
      </c>
      <c r="W212" s="1">
        <v>274</v>
      </c>
      <c r="X212" s="1">
        <v>0</v>
      </c>
      <c r="Y212" s="1">
        <v>621</v>
      </c>
      <c r="Z212" s="1">
        <v>0</v>
      </c>
      <c r="AA212" s="1">
        <v>0</v>
      </c>
      <c r="AB212" s="1">
        <v>0</v>
      </c>
      <c r="AC212" s="1">
        <v>92</v>
      </c>
      <c r="AD212" s="1">
        <v>0</v>
      </c>
      <c r="AE212" s="1">
        <v>366</v>
      </c>
      <c r="AF212" s="1">
        <v>0</v>
      </c>
      <c r="AG212" s="1">
        <v>512</v>
      </c>
      <c r="AH212" s="1">
        <v>0</v>
      </c>
      <c r="AI212" s="1">
        <v>0</v>
      </c>
      <c r="AJ212" s="1">
        <v>0</v>
      </c>
      <c r="AK212" s="1">
        <v>45</v>
      </c>
      <c r="AL212" s="1">
        <v>462</v>
      </c>
      <c r="AM212" s="1">
        <v>161</v>
      </c>
      <c r="AN212" s="1">
        <v>275</v>
      </c>
      <c r="AO212" s="1">
        <v>174</v>
      </c>
      <c r="AP212" s="1">
        <v>1067</v>
      </c>
      <c r="AQ212" s="1">
        <v>1281</v>
      </c>
      <c r="AR212" s="1">
        <v>1660</v>
      </c>
      <c r="AS212" s="1">
        <v>0</v>
      </c>
      <c r="AT212" s="1">
        <v>3748</v>
      </c>
      <c r="AU212" s="1">
        <v>12</v>
      </c>
      <c r="AV212" s="1">
        <v>0</v>
      </c>
      <c r="AW212" s="1">
        <v>0</v>
      </c>
      <c r="AX212" s="1">
        <v>274</v>
      </c>
      <c r="AY212" s="1">
        <v>32</v>
      </c>
      <c r="AZ212" s="1">
        <v>0</v>
      </c>
      <c r="BA212" s="1">
        <v>5</v>
      </c>
    </row>
    <row r="213" spans="1:103">
      <c r="A213" s="19">
        <v>60008</v>
      </c>
      <c r="B213" s="1">
        <v>2024</v>
      </c>
      <c r="C213" s="1">
        <v>11183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74</v>
      </c>
      <c r="J213" s="1">
        <v>46</v>
      </c>
      <c r="K213" s="1">
        <v>0</v>
      </c>
      <c r="L213" s="1">
        <v>0</v>
      </c>
      <c r="M213" s="1">
        <v>0</v>
      </c>
      <c r="N213" s="1">
        <v>0</v>
      </c>
      <c r="O213" s="1">
        <v>183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396</v>
      </c>
      <c r="V213" s="1">
        <v>0</v>
      </c>
      <c r="W213" s="1">
        <v>560</v>
      </c>
      <c r="X213" s="1">
        <v>0</v>
      </c>
      <c r="Y213" s="1">
        <v>427</v>
      </c>
      <c r="Z213" s="1">
        <v>0</v>
      </c>
      <c r="AA213" s="1">
        <v>519</v>
      </c>
      <c r="AB213" s="1">
        <v>0</v>
      </c>
      <c r="AC213" s="1">
        <v>0</v>
      </c>
      <c r="AD213" s="1">
        <v>0</v>
      </c>
      <c r="AE213" s="1">
        <v>544</v>
      </c>
      <c r="AF213" s="1">
        <v>0</v>
      </c>
      <c r="AG213" s="1">
        <v>974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421</v>
      </c>
      <c r="AN213" s="1">
        <v>0</v>
      </c>
      <c r="AO213" s="1">
        <v>1160</v>
      </c>
      <c r="AP213" s="1">
        <v>0</v>
      </c>
      <c r="AQ213" s="1">
        <v>994</v>
      </c>
      <c r="AR213" s="1">
        <v>0</v>
      </c>
      <c r="AS213" s="1">
        <v>958</v>
      </c>
      <c r="AT213" s="1">
        <v>0</v>
      </c>
      <c r="AU213" s="1">
        <v>1622</v>
      </c>
      <c r="AV213" s="1">
        <v>0</v>
      </c>
      <c r="AW213" s="1">
        <v>865</v>
      </c>
      <c r="AX213" s="1">
        <v>0</v>
      </c>
      <c r="AY213" s="1">
        <v>1437</v>
      </c>
      <c r="AZ213" s="1">
        <v>0</v>
      </c>
      <c r="BA213" s="1">
        <v>3</v>
      </c>
    </row>
    <row r="214" spans="1:103">
      <c r="A214" s="19">
        <v>61002</v>
      </c>
      <c r="B214" s="1">
        <v>2024</v>
      </c>
      <c r="C214" s="1">
        <v>11414</v>
      </c>
      <c r="D214" s="1">
        <v>0</v>
      </c>
      <c r="E214" s="1">
        <v>0</v>
      </c>
      <c r="F214" s="1">
        <v>41</v>
      </c>
      <c r="G214" s="1">
        <v>0</v>
      </c>
      <c r="H214" s="1">
        <v>56</v>
      </c>
      <c r="I214" s="1">
        <v>832</v>
      </c>
      <c r="J214" s="1">
        <v>276</v>
      </c>
      <c r="K214" s="1">
        <v>193</v>
      </c>
      <c r="L214" s="1">
        <v>0</v>
      </c>
      <c r="M214" s="1">
        <v>0</v>
      </c>
      <c r="N214" s="1">
        <v>0</v>
      </c>
      <c r="O214" s="1">
        <v>348</v>
      </c>
      <c r="P214" s="1">
        <v>0</v>
      </c>
      <c r="Q214" s="1">
        <v>288</v>
      </c>
      <c r="R214" s="1">
        <v>64</v>
      </c>
      <c r="S214" s="1">
        <v>24</v>
      </c>
      <c r="T214" s="1">
        <v>0</v>
      </c>
      <c r="U214" s="1">
        <v>269</v>
      </c>
      <c r="V214" s="1">
        <v>0</v>
      </c>
      <c r="W214" s="1">
        <v>436</v>
      </c>
      <c r="X214" s="1">
        <v>0</v>
      </c>
      <c r="Y214" s="1">
        <v>468</v>
      </c>
      <c r="Z214" s="1">
        <v>0</v>
      </c>
      <c r="AA214" s="1">
        <v>0</v>
      </c>
      <c r="AB214" s="1">
        <v>0</v>
      </c>
      <c r="AC214" s="1">
        <v>6</v>
      </c>
      <c r="AD214" s="1">
        <v>0</v>
      </c>
      <c r="AE214" s="1">
        <v>345</v>
      </c>
      <c r="AF214" s="1">
        <v>0</v>
      </c>
      <c r="AG214" s="1">
        <v>705</v>
      </c>
      <c r="AH214" s="1">
        <v>0</v>
      </c>
      <c r="AI214" s="1">
        <v>183</v>
      </c>
      <c r="AJ214" s="1">
        <v>0</v>
      </c>
      <c r="AK214" s="1">
        <v>401</v>
      </c>
      <c r="AL214" s="1">
        <v>0</v>
      </c>
      <c r="AM214" s="1">
        <v>1011</v>
      </c>
      <c r="AN214" s="1">
        <v>0</v>
      </c>
      <c r="AO214" s="1">
        <v>986</v>
      </c>
      <c r="AP214" s="1">
        <v>0</v>
      </c>
      <c r="AQ214" s="1">
        <v>131</v>
      </c>
      <c r="AR214" s="1">
        <v>0</v>
      </c>
      <c r="AS214" s="1">
        <v>759</v>
      </c>
      <c r="AT214" s="1">
        <v>0</v>
      </c>
      <c r="AU214" s="1">
        <v>2442</v>
      </c>
      <c r="AV214" s="1">
        <v>0</v>
      </c>
      <c r="AW214" s="1">
        <v>409</v>
      </c>
      <c r="AX214" s="1">
        <v>0</v>
      </c>
      <c r="AY214" s="1">
        <v>741</v>
      </c>
      <c r="AZ214" s="1">
        <v>0</v>
      </c>
      <c r="BA214" s="1">
        <v>0</v>
      </c>
    </row>
    <row r="215" spans="1:103">
      <c r="A215" s="19">
        <v>61003</v>
      </c>
      <c r="B215" s="1">
        <v>2024</v>
      </c>
      <c r="C215" s="1">
        <v>21357</v>
      </c>
      <c r="D215" s="1">
        <v>0</v>
      </c>
      <c r="E215" s="1">
        <v>0</v>
      </c>
      <c r="F215" s="1">
        <v>0</v>
      </c>
      <c r="G215" s="1">
        <v>106</v>
      </c>
      <c r="H215" s="1">
        <v>851</v>
      </c>
      <c r="I215" s="1">
        <v>1364</v>
      </c>
      <c r="J215" s="1">
        <v>193</v>
      </c>
      <c r="K215" s="1">
        <v>169</v>
      </c>
      <c r="L215" s="1">
        <v>0</v>
      </c>
      <c r="M215" s="1">
        <v>94</v>
      </c>
      <c r="N215" s="1">
        <v>139</v>
      </c>
      <c r="O215" s="1">
        <v>245</v>
      </c>
      <c r="P215" s="1">
        <v>0</v>
      </c>
      <c r="Q215" s="1">
        <v>166</v>
      </c>
      <c r="R215" s="1">
        <v>41</v>
      </c>
      <c r="S215" s="1">
        <v>94</v>
      </c>
      <c r="T215" s="1">
        <v>22</v>
      </c>
      <c r="U215" s="1">
        <v>73</v>
      </c>
      <c r="V215" s="1">
        <v>13</v>
      </c>
      <c r="W215" s="1">
        <v>806</v>
      </c>
      <c r="X215" s="1">
        <v>13</v>
      </c>
      <c r="Y215" s="1">
        <v>917</v>
      </c>
      <c r="Z215" s="1">
        <v>0</v>
      </c>
      <c r="AA215" s="1">
        <v>293</v>
      </c>
      <c r="AB215" s="1">
        <v>0</v>
      </c>
      <c r="AC215" s="1">
        <v>50</v>
      </c>
      <c r="AD215" s="1">
        <v>84</v>
      </c>
      <c r="AE215" s="1">
        <v>1210</v>
      </c>
      <c r="AF215" s="1">
        <v>0</v>
      </c>
      <c r="AG215" s="1">
        <v>581</v>
      </c>
      <c r="AH215" s="1">
        <v>168</v>
      </c>
      <c r="AI215" s="1">
        <v>111</v>
      </c>
      <c r="AJ215" s="1">
        <v>0</v>
      </c>
      <c r="AK215" s="1">
        <v>292</v>
      </c>
      <c r="AL215" s="1">
        <v>0</v>
      </c>
      <c r="AM215" s="1">
        <v>641</v>
      </c>
      <c r="AN215" s="1">
        <v>0</v>
      </c>
      <c r="AO215" s="1">
        <v>2919</v>
      </c>
      <c r="AP215" s="1">
        <v>0</v>
      </c>
      <c r="AQ215" s="1">
        <v>1970</v>
      </c>
      <c r="AR215" s="1">
        <v>0</v>
      </c>
      <c r="AS215" s="1">
        <v>2094</v>
      </c>
      <c r="AT215" s="1">
        <v>0</v>
      </c>
      <c r="AU215" s="1">
        <v>2979</v>
      </c>
      <c r="AV215" s="1">
        <v>0</v>
      </c>
      <c r="AW215" s="1">
        <v>860</v>
      </c>
      <c r="AX215" s="1">
        <v>0</v>
      </c>
      <c r="AY215" s="1">
        <v>1498</v>
      </c>
      <c r="AZ215" s="1">
        <v>0</v>
      </c>
      <c r="BA215" s="1">
        <v>301</v>
      </c>
    </row>
    <row r="216" spans="1:103">
      <c r="A216" s="19">
        <v>62002</v>
      </c>
      <c r="B216" s="1">
        <v>2024</v>
      </c>
      <c r="C216" s="1">
        <v>14075</v>
      </c>
      <c r="D216" s="1">
        <v>0</v>
      </c>
      <c r="E216" s="1">
        <v>0</v>
      </c>
      <c r="F216" s="1">
        <v>0</v>
      </c>
      <c r="G216" s="1">
        <v>14</v>
      </c>
      <c r="H216" s="1">
        <v>10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204</v>
      </c>
      <c r="X216" s="1">
        <v>0</v>
      </c>
      <c r="Y216" s="1">
        <v>725</v>
      </c>
      <c r="Z216" s="1">
        <v>0</v>
      </c>
      <c r="AA216" s="1">
        <v>33</v>
      </c>
      <c r="AB216" s="1">
        <v>0</v>
      </c>
      <c r="AC216" s="1">
        <v>225</v>
      </c>
      <c r="AD216" s="1">
        <v>1</v>
      </c>
      <c r="AE216" s="1">
        <v>94</v>
      </c>
      <c r="AF216" s="1">
        <v>0</v>
      </c>
      <c r="AG216" s="1">
        <v>287</v>
      </c>
      <c r="AH216" s="1">
        <v>0</v>
      </c>
      <c r="AI216" s="1">
        <v>0</v>
      </c>
      <c r="AJ216" s="1">
        <v>0</v>
      </c>
      <c r="AK216" s="1">
        <v>132</v>
      </c>
      <c r="AL216" s="1">
        <v>0</v>
      </c>
      <c r="AM216" s="1">
        <v>233</v>
      </c>
      <c r="AN216" s="1">
        <v>0</v>
      </c>
      <c r="AO216" s="1">
        <v>182</v>
      </c>
      <c r="AP216" s="1">
        <v>0</v>
      </c>
      <c r="AQ216" s="1">
        <v>2012</v>
      </c>
      <c r="AR216" s="1">
        <v>0</v>
      </c>
      <c r="AS216" s="1">
        <v>884</v>
      </c>
      <c r="AT216" s="1">
        <v>0</v>
      </c>
      <c r="AU216" s="1">
        <v>2459</v>
      </c>
      <c r="AV216" s="1">
        <v>0</v>
      </c>
      <c r="AW216" s="1">
        <v>195</v>
      </c>
      <c r="AX216" s="1">
        <v>0</v>
      </c>
      <c r="AY216" s="1">
        <v>1368</v>
      </c>
      <c r="AZ216" s="1">
        <v>0</v>
      </c>
      <c r="BA216" s="1">
        <v>24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2</v>
      </c>
      <c r="CF216" s="1">
        <v>0</v>
      </c>
      <c r="CG216" s="1">
        <v>0</v>
      </c>
      <c r="CH216" s="1">
        <v>0</v>
      </c>
      <c r="CI216" s="1">
        <v>62</v>
      </c>
      <c r="CJ216" s="1">
        <v>0</v>
      </c>
      <c r="CK216" s="1">
        <v>298</v>
      </c>
      <c r="CL216" s="1">
        <v>0</v>
      </c>
      <c r="CM216" s="1">
        <v>626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312</v>
      </c>
      <c r="CT216" s="1">
        <v>0</v>
      </c>
      <c r="CU216" s="1">
        <v>114</v>
      </c>
      <c r="CV216" s="1">
        <v>0</v>
      </c>
      <c r="CW216" s="1">
        <v>3573</v>
      </c>
      <c r="CX216" s="1">
        <v>0</v>
      </c>
      <c r="CY216" s="1">
        <v>6</v>
      </c>
    </row>
    <row r="217" spans="1:103">
      <c r="A217" s="19">
        <v>62003</v>
      </c>
      <c r="B217" s="1">
        <v>2024</v>
      </c>
      <c r="C217" s="1">
        <v>23046</v>
      </c>
      <c r="D217" s="1">
        <v>0</v>
      </c>
      <c r="E217" s="1">
        <v>0</v>
      </c>
      <c r="F217" s="1">
        <v>0</v>
      </c>
      <c r="G217" s="1">
        <v>90</v>
      </c>
      <c r="H217" s="1">
        <v>550</v>
      </c>
      <c r="I217" s="1">
        <v>416</v>
      </c>
      <c r="J217" s="1">
        <v>789</v>
      </c>
      <c r="K217" s="1">
        <v>668</v>
      </c>
      <c r="L217" s="1">
        <v>0</v>
      </c>
      <c r="M217" s="1">
        <v>0</v>
      </c>
      <c r="N217" s="1">
        <v>9</v>
      </c>
      <c r="O217" s="1">
        <v>62</v>
      </c>
      <c r="P217" s="1">
        <v>0</v>
      </c>
      <c r="Q217" s="1">
        <v>90</v>
      </c>
      <c r="R217" s="1">
        <v>0</v>
      </c>
      <c r="S217" s="1">
        <v>0</v>
      </c>
      <c r="T217" s="1">
        <v>0</v>
      </c>
      <c r="U217" s="1">
        <v>434</v>
      </c>
      <c r="V217" s="1">
        <v>167</v>
      </c>
      <c r="W217" s="1">
        <v>724</v>
      </c>
      <c r="X217" s="1">
        <v>0</v>
      </c>
      <c r="Y217" s="1">
        <v>651</v>
      </c>
      <c r="Z217" s="1">
        <v>0</v>
      </c>
      <c r="AA217" s="1">
        <v>110</v>
      </c>
      <c r="AB217" s="1">
        <v>29</v>
      </c>
      <c r="AC217" s="1">
        <v>161</v>
      </c>
      <c r="AD217" s="1">
        <v>0</v>
      </c>
      <c r="AE217" s="1">
        <v>589</v>
      </c>
      <c r="AF217" s="1">
        <v>0</v>
      </c>
      <c r="AG217" s="1">
        <v>708</v>
      </c>
      <c r="AH217" s="1">
        <v>53</v>
      </c>
      <c r="AI217" s="1">
        <v>98</v>
      </c>
      <c r="AJ217" s="1">
        <v>223</v>
      </c>
      <c r="AK217" s="1">
        <v>893</v>
      </c>
      <c r="AL217" s="1">
        <v>0</v>
      </c>
      <c r="AM217" s="1">
        <v>1876</v>
      </c>
      <c r="AN217" s="1">
        <v>0</v>
      </c>
      <c r="AO217" s="1">
        <v>3038</v>
      </c>
      <c r="AP217" s="1">
        <v>0</v>
      </c>
      <c r="AQ217" s="1">
        <v>714</v>
      </c>
      <c r="AR217" s="1">
        <v>0</v>
      </c>
      <c r="AS217" s="1">
        <v>729</v>
      </c>
      <c r="AT217" s="1">
        <v>0</v>
      </c>
      <c r="AU217" s="1">
        <v>2111</v>
      </c>
      <c r="AV217" s="1">
        <v>0</v>
      </c>
      <c r="AW217" s="1">
        <v>1666</v>
      </c>
      <c r="AX217" s="1">
        <v>0</v>
      </c>
      <c r="AY217" s="1">
        <v>4917</v>
      </c>
      <c r="AZ217" s="1">
        <v>0</v>
      </c>
      <c r="BA217" s="1">
        <v>481</v>
      </c>
    </row>
    <row r="218" spans="1:103">
      <c r="A218" s="19">
        <v>62004</v>
      </c>
      <c r="B218" s="1">
        <v>2024</v>
      </c>
      <c r="C218" s="1">
        <v>14660</v>
      </c>
      <c r="D218" s="1">
        <v>0</v>
      </c>
      <c r="E218" s="1">
        <v>0</v>
      </c>
      <c r="F218" s="1">
        <v>127</v>
      </c>
      <c r="G218" s="1">
        <v>238</v>
      </c>
      <c r="H218" s="1">
        <v>1062</v>
      </c>
      <c r="I218" s="1">
        <v>1571</v>
      </c>
      <c r="J218" s="1">
        <v>659</v>
      </c>
      <c r="K218" s="1">
        <v>68</v>
      </c>
      <c r="L218" s="1">
        <v>0</v>
      </c>
      <c r="M218" s="1">
        <v>0</v>
      </c>
      <c r="N218" s="1">
        <v>0</v>
      </c>
      <c r="O218" s="1">
        <v>104</v>
      </c>
      <c r="P218" s="1">
        <v>0</v>
      </c>
      <c r="Q218" s="1">
        <v>116</v>
      </c>
      <c r="R218" s="1">
        <v>0</v>
      </c>
      <c r="S218" s="1">
        <v>191</v>
      </c>
      <c r="T218" s="1">
        <v>0</v>
      </c>
      <c r="U218" s="1">
        <v>52</v>
      </c>
      <c r="V218" s="1">
        <v>0</v>
      </c>
      <c r="W218" s="1">
        <v>778</v>
      </c>
      <c r="X218" s="1">
        <v>0</v>
      </c>
      <c r="Y218" s="1">
        <v>1262</v>
      </c>
      <c r="Z218" s="1">
        <v>0</v>
      </c>
      <c r="AA218" s="1">
        <v>516</v>
      </c>
      <c r="AB218" s="1">
        <v>0</v>
      </c>
      <c r="AC218" s="1">
        <v>96</v>
      </c>
      <c r="AD218" s="1">
        <v>0</v>
      </c>
      <c r="AE218" s="1">
        <v>254</v>
      </c>
      <c r="AF218" s="1">
        <v>0</v>
      </c>
      <c r="AG218" s="1">
        <v>1050</v>
      </c>
      <c r="AH218" s="1">
        <v>0</v>
      </c>
      <c r="AI218" s="1">
        <v>59</v>
      </c>
      <c r="AJ218" s="1">
        <v>0</v>
      </c>
      <c r="AK218" s="1">
        <v>15</v>
      </c>
      <c r="AL218" s="1">
        <v>0</v>
      </c>
      <c r="AM218" s="1">
        <v>754</v>
      </c>
      <c r="AN218" s="1">
        <v>0</v>
      </c>
      <c r="AO218" s="1">
        <v>46</v>
      </c>
      <c r="AP218" s="1">
        <v>0</v>
      </c>
      <c r="AQ218" s="1">
        <v>218</v>
      </c>
      <c r="AR218" s="1">
        <v>0</v>
      </c>
      <c r="AS218" s="1">
        <v>1203</v>
      </c>
      <c r="AT218" s="1">
        <v>0</v>
      </c>
      <c r="AU218" s="1">
        <v>2742</v>
      </c>
      <c r="AV218" s="1">
        <v>0</v>
      </c>
      <c r="AW218" s="1">
        <v>686</v>
      </c>
      <c r="AX218" s="1">
        <v>0</v>
      </c>
      <c r="AY218" s="1">
        <v>791</v>
      </c>
      <c r="AZ218" s="1">
        <v>0</v>
      </c>
      <c r="BA218" s="1">
        <v>2</v>
      </c>
    </row>
    <row r="219" spans="1:103">
      <c r="A219" s="19">
        <v>62006</v>
      </c>
      <c r="B219" s="1">
        <v>2024</v>
      </c>
      <c r="C219" s="1">
        <v>28769</v>
      </c>
      <c r="D219" s="1">
        <v>0</v>
      </c>
      <c r="E219" s="1">
        <v>0</v>
      </c>
      <c r="F219" s="1">
        <v>19</v>
      </c>
      <c r="G219" s="1">
        <v>118</v>
      </c>
      <c r="H219" s="1">
        <v>1235</v>
      </c>
      <c r="I219" s="1">
        <v>1891</v>
      </c>
      <c r="J219" s="1">
        <v>1052</v>
      </c>
      <c r="K219" s="1">
        <v>1276</v>
      </c>
      <c r="L219" s="1">
        <v>0</v>
      </c>
      <c r="M219" s="1">
        <v>252</v>
      </c>
      <c r="N219" s="1">
        <v>0</v>
      </c>
      <c r="O219" s="1">
        <v>0</v>
      </c>
      <c r="P219" s="1">
        <v>0</v>
      </c>
      <c r="Q219" s="1">
        <v>261</v>
      </c>
      <c r="R219" s="1">
        <v>0</v>
      </c>
      <c r="S219" s="1">
        <v>289</v>
      </c>
      <c r="T219" s="1">
        <v>0</v>
      </c>
      <c r="U219" s="1">
        <v>1125</v>
      </c>
      <c r="V219" s="1">
        <v>0</v>
      </c>
      <c r="W219" s="1">
        <v>313</v>
      </c>
      <c r="X219" s="1">
        <v>0</v>
      </c>
      <c r="Y219" s="1">
        <v>520</v>
      </c>
      <c r="Z219" s="1">
        <v>15</v>
      </c>
      <c r="AA219" s="1">
        <v>299</v>
      </c>
      <c r="AB219" s="1">
        <v>29</v>
      </c>
      <c r="AC219" s="1">
        <v>455</v>
      </c>
      <c r="AD219" s="1">
        <v>89</v>
      </c>
      <c r="AE219" s="1">
        <v>543</v>
      </c>
      <c r="AF219" s="1">
        <v>164</v>
      </c>
      <c r="AG219" s="1">
        <v>1670</v>
      </c>
      <c r="AH219" s="1">
        <v>87</v>
      </c>
      <c r="AI219" s="1">
        <v>76</v>
      </c>
      <c r="AJ219" s="1">
        <v>121</v>
      </c>
      <c r="AK219" s="1">
        <v>2277</v>
      </c>
      <c r="AL219" s="1">
        <v>0</v>
      </c>
      <c r="AM219" s="1">
        <v>612</v>
      </c>
      <c r="AN219" s="1">
        <v>0</v>
      </c>
      <c r="AO219" s="1">
        <v>2191</v>
      </c>
      <c r="AP219" s="1">
        <v>0</v>
      </c>
      <c r="AQ219" s="1">
        <v>324</v>
      </c>
      <c r="AR219" s="1">
        <v>0</v>
      </c>
      <c r="AS219" s="1">
        <v>1663</v>
      </c>
      <c r="AT219" s="1">
        <v>0</v>
      </c>
      <c r="AU219" s="1">
        <v>3538</v>
      </c>
      <c r="AV219" s="1">
        <v>0</v>
      </c>
      <c r="AW219" s="1">
        <v>964</v>
      </c>
      <c r="AX219" s="1">
        <v>0</v>
      </c>
      <c r="AY219" s="1">
        <v>4277</v>
      </c>
      <c r="AZ219" s="1">
        <v>0</v>
      </c>
      <c r="BA219" s="1">
        <v>1024</v>
      </c>
    </row>
    <row r="220" spans="1:103">
      <c r="A220" s="19">
        <v>62007</v>
      </c>
      <c r="B220" s="1">
        <v>2024</v>
      </c>
      <c r="C220" s="1">
        <v>21086</v>
      </c>
      <c r="D220" s="1">
        <v>0</v>
      </c>
      <c r="E220" s="1">
        <v>8</v>
      </c>
      <c r="F220" s="1">
        <v>724</v>
      </c>
      <c r="G220" s="1">
        <v>150</v>
      </c>
      <c r="H220" s="1">
        <v>1219</v>
      </c>
      <c r="I220" s="1">
        <v>3708</v>
      </c>
      <c r="J220" s="1">
        <v>1407</v>
      </c>
      <c r="K220" s="1">
        <v>462</v>
      </c>
      <c r="L220" s="1">
        <v>0</v>
      </c>
      <c r="M220" s="1">
        <v>0</v>
      </c>
      <c r="N220" s="1">
        <v>0</v>
      </c>
      <c r="O220" s="1">
        <v>329</v>
      </c>
      <c r="P220" s="1">
        <v>0</v>
      </c>
      <c r="Q220" s="1">
        <v>546</v>
      </c>
      <c r="R220" s="1">
        <v>0</v>
      </c>
      <c r="S220" s="1">
        <v>583</v>
      </c>
      <c r="T220" s="1">
        <v>0</v>
      </c>
      <c r="U220" s="1">
        <v>0</v>
      </c>
      <c r="V220" s="1">
        <v>0</v>
      </c>
      <c r="W220" s="1">
        <v>723</v>
      </c>
      <c r="X220" s="1">
        <v>0</v>
      </c>
      <c r="Y220" s="1">
        <v>2373</v>
      </c>
      <c r="Z220" s="1">
        <v>0</v>
      </c>
      <c r="AA220" s="1">
        <v>570</v>
      </c>
      <c r="AB220" s="1">
        <v>0</v>
      </c>
      <c r="AC220" s="1">
        <v>0</v>
      </c>
      <c r="AD220" s="1">
        <v>0</v>
      </c>
      <c r="AE220" s="1">
        <v>461</v>
      </c>
      <c r="AF220" s="1">
        <v>0</v>
      </c>
      <c r="AG220" s="1">
        <v>388</v>
      </c>
      <c r="AH220" s="1">
        <v>0</v>
      </c>
      <c r="AI220" s="1">
        <v>212</v>
      </c>
      <c r="AJ220" s="1">
        <v>0</v>
      </c>
      <c r="AK220" s="1">
        <v>414</v>
      </c>
      <c r="AL220" s="1">
        <v>0</v>
      </c>
      <c r="AM220" s="1">
        <v>352</v>
      </c>
      <c r="AN220" s="1">
        <v>0</v>
      </c>
      <c r="AO220" s="1">
        <v>117</v>
      </c>
      <c r="AP220" s="1">
        <v>0</v>
      </c>
      <c r="AQ220" s="1">
        <v>0</v>
      </c>
      <c r="AR220" s="1">
        <v>0</v>
      </c>
      <c r="AS220" s="1">
        <v>303</v>
      </c>
      <c r="AT220" s="1">
        <v>0</v>
      </c>
      <c r="AU220" s="1">
        <v>3093</v>
      </c>
      <c r="AV220" s="1">
        <v>0</v>
      </c>
      <c r="AW220" s="1">
        <v>1798</v>
      </c>
      <c r="AX220" s="1">
        <v>0</v>
      </c>
      <c r="AY220" s="1">
        <v>702</v>
      </c>
      <c r="AZ220" s="1">
        <v>0</v>
      </c>
      <c r="BA220" s="1">
        <v>444</v>
      </c>
    </row>
    <row r="221" spans="1:103">
      <c r="A221" s="19">
        <v>62008</v>
      </c>
      <c r="B221" s="1">
        <v>2024</v>
      </c>
      <c r="C221" s="1">
        <v>32236</v>
      </c>
      <c r="D221" s="1">
        <v>5909</v>
      </c>
      <c r="E221" s="1">
        <v>3645</v>
      </c>
      <c r="F221" s="1">
        <v>79</v>
      </c>
      <c r="G221" s="1">
        <v>354</v>
      </c>
      <c r="H221" s="1">
        <v>975</v>
      </c>
      <c r="I221" s="1">
        <v>1461</v>
      </c>
      <c r="J221" s="1">
        <v>593</v>
      </c>
      <c r="K221" s="1">
        <v>816</v>
      </c>
      <c r="L221" s="1">
        <v>0</v>
      </c>
      <c r="M221" s="1">
        <v>220</v>
      </c>
      <c r="N221" s="1">
        <v>17</v>
      </c>
      <c r="O221" s="1">
        <v>68</v>
      </c>
      <c r="P221" s="1">
        <v>0</v>
      </c>
      <c r="Q221" s="1">
        <v>467</v>
      </c>
      <c r="R221" s="1">
        <v>0</v>
      </c>
      <c r="S221" s="1">
        <v>243</v>
      </c>
      <c r="T221" s="1">
        <v>0</v>
      </c>
      <c r="U221" s="1">
        <v>794</v>
      </c>
      <c r="V221" s="1">
        <v>0</v>
      </c>
      <c r="W221" s="1">
        <v>321</v>
      </c>
      <c r="X221" s="1">
        <v>0</v>
      </c>
      <c r="Y221" s="1">
        <v>1057</v>
      </c>
      <c r="Z221" s="1">
        <v>137</v>
      </c>
      <c r="AA221" s="1">
        <v>553</v>
      </c>
      <c r="AB221" s="1">
        <v>0</v>
      </c>
      <c r="AC221" s="1">
        <v>39</v>
      </c>
      <c r="AD221" s="1">
        <v>0</v>
      </c>
      <c r="AE221" s="1">
        <v>287</v>
      </c>
      <c r="AF221" s="1">
        <v>0</v>
      </c>
      <c r="AG221" s="1">
        <v>1956</v>
      </c>
      <c r="AH221" s="1">
        <v>0</v>
      </c>
      <c r="AI221" s="1">
        <v>667</v>
      </c>
      <c r="AJ221" s="1">
        <v>0</v>
      </c>
      <c r="AK221" s="1">
        <v>2325</v>
      </c>
      <c r="AL221" s="1">
        <v>0</v>
      </c>
      <c r="AM221" s="1">
        <v>477</v>
      </c>
      <c r="AN221" s="1">
        <v>0</v>
      </c>
      <c r="AO221" s="1">
        <v>618</v>
      </c>
      <c r="AP221" s="1">
        <v>0</v>
      </c>
      <c r="AQ221" s="1">
        <v>75</v>
      </c>
      <c r="AR221" s="1">
        <v>0</v>
      </c>
      <c r="AS221" s="1">
        <v>318</v>
      </c>
      <c r="AT221" s="1">
        <v>0</v>
      </c>
      <c r="AU221" s="1">
        <v>2089</v>
      </c>
      <c r="AV221" s="1">
        <v>0</v>
      </c>
      <c r="AW221" s="1">
        <v>1431</v>
      </c>
      <c r="AX221" s="1">
        <v>0</v>
      </c>
      <c r="AY221" s="1">
        <v>3537</v>
      </c>
      <c r="AZ221" s="1">
        <v>0</v>
      </c>
      <c r="BA221" s="1">
        <v>708</v>
      </c>
    </row>
    <row r="222" spans="1:103">
      <c r="A222" s="19">
        <v>62009</v>
      </c>
      <c r="B222" s="1">
        <v>2024</v>
      </c>
      <c r="C222" s="1">
        <v>42123</v>
      </c>
      <c r="D222" s="1">
        <v>0</v>
      </c>
      <c r="E222" s="1">
        <v>0</v>
      </c>
      <c r="F222" s="1">
        <v>0</v>
      </c>
      <c r="G222" s="1">
        <v>330</v>
      </c>
      <c r="H222" s="1">
        <v>2493</v>
      </c>
      <c r="I222" s="1">
        <v>2722</v>
      </c>
      <c r="J222" s="1">
        <v>1326</v>
      </c>
      <c r="K222" s="1">
        <v>1639</v>
      </c>
      <c r="L222" s="1">
        <v>1226</v>
      </c>
      <c r="M222" s="1">
        <v>37</v>
      </c>
      <c r="N222" s="1">
        <v>23</v>
      </c>
      <c r="O222" s="1">
        <v>122</v>
      </c>
      <c r="P222" s="1">
        <v>0</v>
      </c>
      <c r="Q222" s="1">
        <v>0</v>
      </c>
      <c r="R222" s="1">
        <v>0</v>
      </c>
      <c r="S222" s="1">
        <v>82</v>
      </c>
      <c r="T222" s="1">
        <v>0</v>
      </c>
      <c r="U222" s="1">
        <v>34</v>
      </c>
      <c r="V222" s="1">
        <v>0</v>
      </c>
      <c r="W222" s="1">
        <v>183</v>
      </c>
      <c r="X222" s="1">
        <v>0</v>
      </c>
      <c r="Y222" s="1">
        <v>165</v>
      </c>
      <c r="Z222" s="1">
        <v>0</v>
      </c>
      <c r="AA222" s="1">
        <v>234</v>
      </c>
      <c r="AB222" s="1">
        <v>0</v>
      </c>
      <c r="AC222" s="1">
        <v>141</v>
      </c>
      <c r="AD222" s="1">
        <v>0</v>
      </c>
      <c r="AE222" s="1">
        <v>859</v>
      </c>
      <c r="AF222" s="1">
        <v>13</v>
      </c>
      <c r="AG222" s="1">
        <v>1057</v>
      </c>
      <c r="AH222" s="1">
        <v>0</v>
      </c>
      <c r="AI222" s="1">
        <v>349</v>
      </c>
      <c r="AJ222" s="1">
        <v>118</v>
      </c>
      <c r="AK222" s="1">
        <v>370</v>
      </c>
      <c r="AL222" s="1">
        <v>0</v>
      </c>
      <c r="AM222" s="1">
        <v>1720</v>
      </c>
      <c r="AN222" s="1">
        <v>0</v>
      </c>
      <c r="AO222" s="1">
        <v>479</v>
      </c>
      <c r="AP222" s="1">
        <v>0</v>
      </c>
      <c r="AQ222" s="1">
        <v>1249</v>
      </c>
      <c r="AR222" s="1">
        <v>0</v>
      </c>
      <c r="AS222" s="1">
        <v>3320</v>
      </c>
      <c r="AT222" s="1">
        <v>0</v>
      </c>
      <c r="AU222" s="1">
        <v>2305</v>
      </c>
      <c r="AV222" s="1">
        <v>0</v>
      </c>
      <c r="AW222" s="1">
        <v>1724</v>
      </c>
      <c r="AX222" s="1">
        <v>0</v>
      </c>
      <c r="AY222" s="1">
        <v>722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92</v>
      </c>
      <c r="BF222" s="1">
        <v>445</v>
      </c>
      <c r="BG222" s="1">
        <v>159</v>
      </c>
      <c r="BH222" s="1">
        <v>59</v>
      </c>
      <c r="BI222" s="1">
        <v>0</v>
      </c>
      <c r="BJ222" s="1">
        <v>0</v>
      </c>
      <c r="BK222" s="1">
        <v>0</v>
      </c>
      <c r="BL222" s="1">
        <v>0</v>
      </c>
      <c r="BM222" s="1">
        <v>2</v>
      </c>
      <c r="BN222" s="1">
        <v>0</v>
      </c>
      <c r="BO222" s="1">
        <v>23</v>
      </c>
      <c r="BP222" s="1">
        <v>0</v>
      </c>
      <c r="BQ222" s="1">
        <v>0</v>
      </c>
      <c r="BR222" s="1">
        <v>0</v>
      </c>
      <c r="BS222" s="1">
        <v>52</v>
      </c>
      <c r="BT222" s="1">
        <v>0</v>
      </c>
      <c r="BU222" s="1">
        <v>299</v>
      </c>
      <c r="BV222" s="1">
        <v>0</v>
      </c>
      <c r="BW222" s="1">
        <v>1024</v>
      </c>
      <c r="BX222" s="1">
        <v>0</v>
      </c>
      <c r="BY222" s="1">
        <v>222</v>
      </c>
      <c r="BZ222" s="1">
        <v>0</v>
      </c>
      <c r="CA222" s="1">
        <v>168</v>
      </c>
      <c r="CB222" s="1">
        <v>0</v>
      </c>
      <c r="CC222" s="1">
        <v>599</v>
      </c>
      <c r="CD222" s="1">
        <v>0</v>
      </c>
      <c r="CE222" s="1">
        <v>1200</v>
      </c>
      <c r="CF222" s="1">
        <v>0</v>
      </c>
      <c r="CG222" s="1">
        <v>62</v>
      </c>
      <c r="CH222" s="1">
        <v>0</v>
      </c>
      <c r="CI222" s="1">
        <v>476</v>
      </c>
      <c r="CJ222" s="1">
        <v>0</v>
      </c>
      <c r="CK222" s="1">
        <v>867</v>
      </c>
      <c r="CL222" s="1">
        <v>0</v>
      </c>
      <c r="CM222" s="1">
        <v>61</v>
      </c>
      <c r="CN222" s="1">
        <v>0</v>
      </c>
      <c r="CO222" s="1">
        <v>462</v>
      </c>
      <c r="CP222" s="1">
        <v>0</v>
      </c>
      <c r="CQ222" s="1">
        <v>2099</v>
      </c>
      <c r="CR222" s="1">
        <v>0</v>
      </c>
      <c r="CS222" s="1">
        <v>4628</v>
      </c>
      <c r="CT222" s="1">
        <v>0</v>
      </c>
      <c r="CU222" s="1">
        <v>1754</v>
      </c>
      <c r="CV222" s="1">
        <v>0</v>
      </c>
      <c r="CW222" s="1">
        <v>2328</v>
      </c>
      <c r="CX222" s="1">
        <v>0</v>
      </c>
      <c r="CY222" s="1">
        <v>0</v>
      </c>
    </row>
    <row r="223" spans="1:103">
      <c r="A223" s="19">
        <v>62010</v>
      </c>
      <c r="B223" s="1">
        <v>2024</v>
      </c>
      <c r="C223" s="1">
        <v>26903</v>
      </c>
      <c r="D223" s="1">
        <v>0</v>
      </c>
      <c r="E223" s="1">
        <v>0</v>
      </c>
      <c r="F223" s="1">
        <v>236</v>
      </c>
      <c r="G223" s="1">
        <v>196</v>
      </c>
      <c r="H223" s="1">
        <v>621</v>
      </c>
      <c r="I223" s="1">
        <v>1297</v>
      </c>
      <c r="J223" s="1">
        <v>470</v>
      </c>
      <c r="K223" s="1">
        <v>629</v>
      </c>
      <c r="L223" s="1">
        <v>44</v>
      </c>
      <c r="M223" s="1">
        <v>228</v>
      </c>
      <c r="N223" s="1">
        <v>83</v>
      </c>
      <c r="O223" s="1">
        <v>554</v>
      </c>
      <c r="P223" s="1">
        <v>0</v>
      </c>
      <c r="Q223" s="1">
        <v>613</v>
      </c>
      <c r="R223" s="1">
        <v>0</v>
      </c>
      <c r="S223" s="1">
        <v>122</v>
      </c>
      <c r="T223" s="1">
        <v>154</v>
      </c>
      <c r="U223" s="1">
        <v>816</v>
      </c>
      <c r="V223" s="1">
        <v>0</v>
      </c>
      <c r="W223" s="1">
        <v>638</v>
      </c>
      <c r="X223" s="1">
        <v>391</v>
      </c>
      <c r="Y223" s="1">
        <v>1075</v>
      </c>
      <c r="Z223" s="1">
        <v>92</v>
      </c>
      <c r="AA223" s="1">
        <v>605</v>
      </c>
      <c r="AB223" s="1">
        <v>0</v>
      </c>
      <c r="AC223" s="1">
        <v>145</v>
      </c>
      <c r="AD223" s="1">
        <v>16</v>
      </c>
      <c r="AE223" s="1">
        <v>768</v>
      </c>
      <c r="AF223" s="1">
        <v>188</v>
      </c>
      <c r="AG223" s="1">
        <v>2309</v>
      </c>
      <c r="AH223" s="1">
        <v>0</v>
      </c>
      <c r="AI223" s="1">
        <v>441</v>
      </c>
      <c r="AJ223" s="1">
        <v>1</v>
      </c>
      <c r="AK223" s="1">
        <v>715</v>
      </c>
      <c r="AL223" s="1">
        <v>0</v>
      </c>
      <c r="AM223" s="1">
        <v>682</v>
      </c>
      <c r="AN223" s="1">
        <v>0</v>
      </c>
      <c r="AO223" s="1">
        <v>578</v>
      </c>
      <c r="AP223" s="1">
        <v>0</v>
      </c>
      <c r="AQ223" s="1">
        <v>1389</v>
      </c>
      <c r="AR223" s="1">
        <v>0</v>
      </c>
      <c r="AS223" s="1">
        <v>2256</v>
      </c>
      <c r="AT223" s="1">
        <v>0</v>
      </c>
      <c r="AU223" s="1">
        <v>4465</v>
      </c>
      <c r="AV223" s="1">
        <v>31</v>
      </c>
      <c r="AW223" s="1">
        <v>2129</v>
      </c>
      <c r="AX223" s="1">
        <v>0</v>
      </c>
      <c r="AY223" s="1">
        <v>1926</v>
      </c>
      <c r="AZ223" s="1">
        <v>0</v>
      </c>
      <c r="BA223" s="1">
        <v>0</v>
      </c>
    </row>
    <row r="224" spans="1:103">
      <c r="A224" s="19">
        <v>62011</v>
      </c>
      <c r="B224" s="1">
        <v>2024</v>
      </c>
      <c r="C224" s="1">
        <v>11208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366</v>
      </c>
      <c r="CH224" s="1">
        <v>8</v>
      </c>
      <c r="CI224" s="1">
        <v>353</v>
      </c>
      <c r="CJ224" s="1">
        <v>0</v>
      </c>
      <c r="CK224" s="1">
        <v>617</v>
      </c>
      <c r="CL224" s="1">
        <v>0</v>
      </c>
      <c r="CM224" s="1">
        <v>7782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366</v>
      </c>
      <c r="CT224" s="1">
        <v>0</v>
      </c>
      <c r="CU224" s="1">
        <v>0</v>
      </c>
      <c r="CV224" s="1">
        <v>0</v>
      </c>
      <c r="CW224" s="1">
        <v>1716</v>
      </c>
      <c r="CX224" s="1">
        <v>0</v>
      </c>
      <c r="CY224" s="1">
        <v>0</v>
      </c>
    </row>
    <row r="225" spans="1:53">
      <c r="A225" s="19">
        <v>62012</v>
      </c>
      <c r="B225" s="1">
        <v>2024</v>
      </c>
      <c r="C225" s="1">
        <v>28449</v>
      </c>
      <c r="D225" s="1">
        <v>0</v>
      </c>
      <c r="E225" s="1">
        <v>0</v>
      </c>
      <c r="F225" s="1">
        <v>533</v>
      </c>
      <c r="G225" s="1">
        <v>666</v>
      </c>
      <c r="H225" s="1">
        <v>3236</v>
      </c>
      <c r="I225" s="1">
        <v>2140</v>
      </c>
      <c r="J225" s="1">
        <v>541</v>
      </c>
      <c r="K225" s="1">
        <v>326</v>
      </c>
      <c r="L225" s="1">
        <v>0</v>
      </c>
      <c r="M225" s="1">
        <v>80</v>
      </c>
      <c r="N225" s="1">
        <v>121</v>
      </c>
      <c r="O225" s="1">
        <v>871</v>
      </c>
      <c r="P225" s="1">
        <v>0</v>
      </c>
      <c r="Q225" s="1">
        <v>436</v>
      </c>
      <c r="R225" s="1">
        <v>0</v>
      </c>
      <c r="S225" s="1">
        <v>316</v>
      </c>
      <c r="T225" s="1">
        <v>18</v>
      </c>
      <c r="U225" s="1">
        <v>1370</v>
      </c>
      <c r="V225" s="1">
        <v>314</v>
      </c>
      <c r="W225" s="1">
        <v>2757</v>
      </c>
      <c r="X225" s="1">
        <v>89</v>
      </c>
      <c r="Y225" s="1">
        <v>792</v>
      </c>
      <c r="Z225" s="1">
        <v>0</v>
      </c>
      <c r="AA225" s="1">
        <v>285</v>
      </c>
      <c r="AB225" s="1">
        <v>42</v>
      </c>
      <c r="AC225" s="1">
        <v>529</v>
      </c>
      <c r="AD225" s="1">
        <v>0</v>
      </c>
      <c r="AE225" s="1">
        <v>629</v>
      </c>
      <c r="AF225" s="1">
        <v>0</v>
      </c>
      <c r="AG225" s="1">
        <v>932</v>
      </c>
      <c r="AH225" s="1">
        <v>0</v>
      </c>
      <c r="AI225" s="1">
        <v>508</v>
      </c>
      <c r="AJ225" s="1">
        <v>0</v>
      </c>
      <c r="AK225" s="1">
        <v>363</v>
      </c>
      <c r="AL225" s="1">
        <v>0</v>
      </c>
      <c r="AM225" s="1">
        <v>922</v>
      </c>
      <c r="AN225" s="1">
        <v>0</v>
      </c>
      <c r="AO225" s="1">
        <v>385</v>
      </c>
      <c r="AP225" s="1">
        <v>0</v>
      </c>
      <c r="AQ225" s="1">
        <v>1546</v>
      </c>
      <c r="AR225" s="1">
        <v>0</v>
      </c>
      <c r="AS225" s="1">
        <v>1881</v>
      </c>
      <c r="AT225" s="1">
        <v>0</v>
      </c>
      <c r="AU225" s="1">
        <v>3193</v>
      </c>
      <c r="AV225" s="1">
        <v>0</v>
      </c>
      <c r="AW225" s="1">
        <v>1869</v>
      </c>
      <c r="AX225" s="1">
        <v>0</v>
      </c>
      <c r="AY225" s="1">
        <v>759</v>
      </c>
      <c r="AZ225" s="1">
        <v>0</v>
      </c>
      <c r="BA225" s="1">
        <v>0</v>
      </c>
    </row>
    <row r="226" spans="1:53">
      <c r="A226" s="19">
        <v>62013</v>
      </c>
      <c r="B226" s="1">
        <v>2024</v>
      </c>
      <c r="C226" s="1">
        <v>45414</v>
      </c>
      <c r="D226" s="1">
        <v>0</v>
      </c>
      <c r="E226" s="1">
        <v>0</v>
      </c>
      <c r="F226" s="1">
        <v>74</v>
      </c>
      <c r="G226" s="1">
        <v>375</v>
      </c>
      <c r="H226" s="1">
        <v>1380</v>
      </c>
      <c r="I226" s="1">
        <v>2059</v>
      </c>
      <c r="J226" s="1">
        <v>20</v>
      </c>
      <c r="K226" s="1">
        <v>91</v>
      </c>
      <c r="L226" s="1">
        <v>0</v>
      </c>
      <c r="M226" s="1">
        <v>0</v>
      </c>
      <c r="N226" s="1">
        <v>0</v>
      </c>
      <c r="O226" s="1">
        <v>129</v>
      </c>
      <c r="P226" s="1">
        <v>0</v>
      </c>
      <c r="Q226" s="1">
        <v>355</v>
      </c>
      <c r="R226" s="1">
        <v>0</v>
      </c>
      <c r="S226" s="1">
        <v>213</v>
      </c>
      <c r="T226" s="1">
        <v>25</v>
      </c>
      <c r="U226" s="1">
        <v>316</v>
      </c>
      <c r="V226" s="1">
        <v>44</v>
      </c>
      <c r="W226" s="1">
        <v>1401</v>
      </c>
      <c r="X226" s="1">
        <v>92</v>
      </c>
      <c r="Y226" s="1">
        <v>2635</v>
      </c>
      <c r="Z226" s="1">
        <v>0</v>
      </c>
      <c r="AA226" s="1">
        <v>244</v>
      </c>
      <c r="AB226" s="1">
        <v>0</v>
      </c>
      <c r="AC226" s="1">
        <v>1231</v>
      </c>
      <c r="AD226" s="1">
        <v>0</v>
      </c>
      <c r="AE226" s="1">
        <v>465</v>
      </c>
      <c r="AF226" s="1">
        <v>0</v>
      </c>
      <c r="AG226" s="1">
        <v>1940</v>
      </c>
      <c r="AH226" s="1">
        <v>0</v>
      </c>
      <c r="AI226" s="1">
        <v>112</v>
      </c>
      <c r="AJ226" s="1">
        <v>0</v>
      </c>
      <c r="AK226" s="1">
        <v>460</v>
      </c>
      <c r="AL226" s="1">
        <v>0</v>
      </c>
      <c r="AM226" s="1">
        <v>588</v>
      </c>
      <c r="AN226" s="1">
        <v>0</v>
      </c>
      <c r="AO226" s="1">
        <v>546</v>
      </c>
      <c r="AP226" s="1">
        <v>0</v>
      </c>
      <c r="AQ226" s="1">
        <v>2403</v>
      </c>
      <c r="AR226" s="1">
        <v>0</v>
      </c>
      <c r="AS226" s="1">
        <v>7029</v>
      </c>
      <c r="AT226" s="1">
        <v>0</v>
      </c>
      <c r="AU226" s="1">
        <v>16606</v>
      </c>
      <c r="AV226" s="1">
        <v>0</v>
      </c>
      <c r="AW226" s="1">
        <v>2043</v>
      </c>
      <c r="AX226" s="1">
        <v>0</v>
      </c>
      <c r="AY226" s="1">
        <v>2476</v>
      </c>
      <c r="AZ226" s="1">
        <v>0</v>
      </c>
      <c r="BA226" s="1">
        <v>62</v>
      </c>
    </row>
    <row r="227" spans="1:53">
      <c r="A227" s="19">
        <v>62015</v>
      </c>
      <c r="B227" s="1">
        <v>2024</v>
      </c>
      <c r="C227" s="1">
        <v>76486</v>
      </c>
      <c r="D227" s="1">
        <v>0</v>
      </c>
      <c r="E227" s="1">
        <v>0</v>
      </c>
      <c r="F227" s="1">
        <v>26</v>
      </c>
      <c r="G227" s="1">
        <v>585</v>
      </c>
      <c r="H227" s="1">
        <v>2015</v>
      </c>
      <c r="I227" s="1">
        <v>4403</v>
      </c>
      <c r="J227" s="1">
        <v>394</v>
      </c>
      <c r="K227" s="1">
        <v>293</v>
      </c>
      <c r="L227" s="1">
        <v>0</v>
      </c>
      <c r="M227" s="1">
        <v>0</v>
      </c>
      <c r="N227" s="1">
        <v>132</v>
      </c>
      <c r="O227" s="1">
        <v>423</v>
      </c>
      <c r="P227" s="1">
        <v>126</v>
      </c>
      <c r="Q227" s="1">
        <v>496</v>
      </c>
      <c r="R227" s="1">
        <v>81</v>
      </c>
      <c r="S227" s="1">
        <v>103</v>
      </c>
      <c r="T227" s="1">
        <v>181</v>
      </c>
      <c r="U227" s="1">
        <v>588</v>
      </c>
      <c r="V227" s="1">
        <v>190</v>
      </c>
      <c r="W227" s="1">
        <v>1672</v>
      </c>
      <c r="X227" s="1">
        <v>389</v>
      </c>
      <c r="Y227" s="1">
        <v>5153</v>
      </c>
      <c r="Z227" s="1">
        <v>152</v>
      </c>
      <c r="AA227" s="1">
        <v>1426</v>
      </c>
      <c r="AB227" s="1">
        <v>0</v>
      </c>
      <c r="AC227" s="1">
        <v>215</v>
      </c>
      <c r="AD227" s="1">
        <v>27</v>
      </c>
      <c r="AE227" s="1">
        <v>1139</v>
      </c>
      <c r="AF227" s="1">
        <v>794</v>
      </c>
      <c r="AG227" s="1">
        <v>6074</v>
      </c>
      <c r="AH227" s="1">
        <v>0</v>
      </c>
      <c r="AI227" s="1">
        <v>1260</v>
      </c>
      <c r="AJ227" s="1">
        <v>275</v>
      </c>
      <c r="AK227" s="1">
        <v>1800</v>
      </c>
      <c r="AL227" s="1">
        <v>0</v>
      </c>
      <c r="AM227" s="1">
        <v>4080</v>
      </c>
      <c r="AN227" s="1">
        <v>0</v>
      </c>
      <c r="AO227" s="1">
        <v>3447</v>
      </c>
      <c r="AP227" s="1">
        <v>0</v>
      </c>
      <c r="AQ227" s="1">
        <v>973</v>
      </c>
      <c r="AR227" s="1">
        <v>0</v>
      </c>
      <c r="AS227" s="1">
        <v>2783</v>
      </c>
      <c r="AT227" s="1">
        <v>0</v>
      </c>
      <c r="AU227" s="1">
        <v>20406</v>
      </c>
      <c r="AV227" s="1">
        <v>0</v>
      </c>
      <c r="AW227" s="1">
        <v>6171</v>
      </c>
      <c r="AX227" s="1">
        <v>0</v>
      </c>
      <c r="AY227" s="1">
        <v>7666</v>
      </c>
      <c r="AZ227" s="1">
        <v>0</v>
      </c>
      <c r="BA227" s="1">
        <v>548</v>
      </c>
    </row>
    <row r="228" spans="1:53">
      <c r="A228" s="19">
        <v>62016</v>
      </c>
      <c r="B228" s="1">
        <v>2024</v>
      </c>
      <c r="C228" s="1">
        <v>28386</v>
      </c>
      <c r="D228" s="1">
        <v>0</v>
      </c>
      <c r="E228" s="1">
        <v>0</v>
      </c>
      <c r="F228" s="1">
        <v>0</v>
      </c>
      <c r="G228" s="1">
        <v>528</v>
      </c>
      <c r="H228" s="1">
        <v>2631</v>
      </c>
      <c r="I228" s="1">
        <v>2454</v>
      </c>
      <c r="J228" s="1">
        <v>312</v>
      </c>
      <c r="K228" s="1">
        <v>492</v>
      </c>
      <c r="L228" s="1">
        <v>0</v>
      </c>
      <c r="M228" s="1">
        <v>16</v>
      </c>
      <c r="N228" s="1">
        <v>111</v>
      </c>
      <c r="O228" s="1">
        <v>455</v>
      </c>
      <c r="P228" s="1">
        <v>0</v>
      </c>
      <c r="Q228" s="1">
        <v>184</v>
      </c>
      <c r="R228" s="1">
        <v>0</v>
      </c>
      <c r="S228" s="1">
        <v>122</v>
      </c>
      <c r="T228" s="1">
        <v>0</v>
      </c>
      <c r="U228" s="1">
        <v>0</v>
      </c>
      <c r="V228" s="1">
        <v>117</v>
      </c>
      <c r="W228" s="1">
        <v>1158</v>
      </c>
      <c r="X228" s="1">
        <v>184</v>
      </c>
      <c r="Y228" s="1">
        <v>1221</v>
      </c>
      <c r="Z228" s="1">
        <v>24</v>
      </c>
      <c r="AA228" s="1">
        <v>438</v>
      </c>
      <c r="AB228" s="1">
        <v>0</v>
      </c>
      <c r="AC228" s="1">
        <v>565</v>
      </c>
      <c r="AD228" s="1">
        <v>0</v>
      </c>
      <c r="AE228" s="1">
        <v>1078</v>
      </c>
      <c r="AF228" s="1">
        <v>26</v>
      </c>
      <c r="AG228" s="1">
        <v>2190</v>
      </c>
      <c r="AH228" s="1">
        <v>0</v>
      </c>
      <c r="AI228" s="1">
        <v>748</v>
      </c>
      <c r="AJ228" s="1">
        <v>0</v>
      </c>
      <c r="AK228" s="1">
        <v>207</v>
      </c>
      <c r="AL228" s="1">
        <v>0</v>
      </c>
      <c r="AM228" s="1">
        <v>316</v>
      </c>
      <c r="AN228" s="1">
        <v>0</v>
      </c>
      <c r="AO228" s="1">
        <v>338</v>
      </c>
      <c r="AP228" s="1">
        <v>0</v>
      </c>
      <c r="AQ228" s="1">
        <v>441</v>
      </c>
      <c r="AR228" s="1">
        <v>0</v>
      </c>
      <c r="AS228" s="1">
        <v>2204</v>
      </c>
      <c r="AT228" s="1">
        <v>0</v>
      </c>
      <c r="AU228" s="1">
        <v>5040</v>
      </c>
      <c r="AV228" s="1">
        <v>0</v>
      </c>
      <c r="AW228" s="1">
        <v>2102</v>
      </c>
      <c r="AX228" s="1">
        <v>0</v>
      </c>
      <c r="AY228" s="1">
        <v>2684</v>
      </c>
      <c r="AZ228" s="1">
        <v>0</v>
      </c>
      <c r="BA228" s="1">
        <v>0</v>
      </c>
    </row>
    <row r="229" spans="1:53">
      <c r="A229" s="19">
        <v>62017</v>
      </c>
      <c r="B229" s="1">
        <v>2024</v>
      </c>
      <c r="C229" s="1">
        <v>32858</v>
      </c>
      <c r="D229" s="1">
        <v>0</v>
      </c>
      <c r="E229" s="1">
        <v>0</v>
      </c>
      <c r="F229" s="1">
        <v>10</v>
      </c>
      <c r="G229" s="1">
        <v>587</v>
      </c>
      <c r="H229" s="1">
        <v>3359</v>
      </c>
      <c r="I229" s="1">
        <v>1631</v>
      </c>
      <c r="J229" s="1">
        <v>919</v>
      </c>
      <c r="K229" s="1">
        <v>1219</v>
      </c>
      <c r="L229" s="1">
        <v>0</v>
      </c>
      <c r="M229" s="1">
        <v>274</v>
      </c>
      <c r="N229" s="1">
        <v>102</v>
      </c>
      <c r="O229" s="1">
        <v>249</v>
      </c>
      <c r="P229" s="1">
        <v>40</v>
      </c>
      <c r="Q229" s="1">
        <v>471</v>
      </c>
      <c r="R229" s="1">
        <v>1</v>
      </c>
      <c r="S229" s="1">
        <v>564</v>
      </c>
      <c r="T229" s="1">
        <v>12</v>
      </c>
      <c r="U229" s="1">
        <v>1021</v>
      </c>
      <c r="V229" s="1">
        <v>0</v>
      </c>
      <c r="W229" s="1">
        <v>1310</v>
      </c>
      <c r="X229" s="1">
        <v>0</v>
      </c>
      <c r="Y229" s="1">
        <v>553</v>
      </c>
      <c r="Z229" s="1">
        <v>149</v>
      </c>
      <c r="AA229" s="1">
        <v>275</v>
      </c>
      <c r="AB229" s="1">
        <v>0</v>
      </c>
      <c r="AC229" s="1">
        <v>97</v>
      </c>
      <c r="AD229" s="1">
        <v>61</v>
      </c>
      <c r="AE229" s="1">
        <v>2102</v>
      </c>
      <c r="AF229" s="1">
        <v>0</v>
      </c>
      <c r="AG229" s="1">
        <v>837</v>
      </c>
      <c r="AH229" s="1">
        <v>41</v>
      </c>
      <c r="AI229" s="1">
        <v>508</v>
      </c>
      <c r="AJ229" s="1">
        <v>0</v>
      </c>
      <c r="AK229" s="1">
        <v>811</v>
      </c>
      <c r="AL229" s="1">
        <v>0</v>
      </c>
      <c r="AM229" s="1">
        <v>628</v>
      </c>
      <c r="AN229" s="1">
        <v>0</v>
      </c>
      <c r="AO229" s="1">
        <v>560</v>
      </c>
      <c r="AP229" s="1">
        <v>0</v>
      </c>
      <c r="AQ229" s="1">
        <v>1435</v>
      </c>
      <c r="AR229" s="1">
        <v>0</v>
      </c>
      <c r="AS229" s="1">
        <v>4424</v>
      </c>
      <c r="AT229" s="1">
        <v>0</v>
      </c>
      <c r="AU229" s="1">
        <v>3005</v>
      </c>
      <c r="AV229" s="1">
        <v>0</v>
      </c>
      <c r="AW229" s="1">
        <v>1629</v>
      </c>
      <c r="AX229" s="1">
        <v>0</v>
      </c>
      <c r="AY229" s="1">
        <v>2164</v>
      </c>
      <c r="AZ229" s="1">
        <v>0</v>
      </c>
      <c r="BA229" s="1">
        <v>1810</v>
      </c>
    </row>
    <row r="230" spans="1:53">
      <c r="A230" s="19">
        <v>62019</v>
      </c>
      <c r="B230" s="1">
        <v>2024</v>
      </c>
      <c r="C230" s="1">
        <v>20182</v>
      </c>
      <c r="D230" s="1">
        <v>0</v>
      </c>
      <c r="E230" s="1">
        <v>0</v>
      </c>
      <c r="F230" s="1">
        <v>0</v>
      </c>
      <c r="G230" s="1">
        <v>303</v>
      </c>
      <c r="H230" s="1">
        <v>1620</v>
      </c>
      <c r="I230" s="1">
        <v>1926</v>
      </c>
      <c r="J230" s="1">
        <v>839</v>
      </c>
      <c r="K230" s="1">
        <v>216</v>
      </c>
      <c r="L230" s="1">
        <v>0</v>
      </c>
      <c r="M230" s="1">
        <v>0</v>
      </c>
      <c r="N230" s="1">
        <v>0</v>
      </c>
      <c r="O230" s="1">
        <v>23</v>
      </c>
      <c r="P230" s="1">
        <v>0</v>
      </c>
      <c r="Q230" s="1">
        <v>143</v>
      </c>
      <c r="R230" s="1">
        <v>0</v>
      </c>
      <c r="S230" s="1">
        <v>520</v>
      </c>
      <c r="T230" s="1">
        <v>79</v>
      </c>
      <c r="U230" s="1">
        <v>284</v>
      </c>
      <c r="V230" s="1">
        <v>91</v>
      </c>
      <c r="W230" s="1">
        <v>425</v>
      </c>
      <c r="X230" s="1">
        <v>0</v>
      </c>
      <c r="Y230" s="1">
        <v>271</v>
      </c>
      <c r="Z230" s="1">
        <v>101</v>
      </c>
      <c r="AA230" s="1">
        <v>224</v>
      </c>
      <c r="AB230" s="1">
        <v>0</v>
      </c>
      <c r="AC230" s="1">
        <v>356</v>
      </c>
      <c r="AD230" s="1">
        <v>0</v>
      </c>
      <c r="AE230" s="1">
        <v>964</v>
      </c>
      <c r="AF230" s="1">
        <v>25</v>
      </c>
      <c r="AG230" s="1">
        <v>611</v>
      </c>
      <c r="AH230" s="1">
        <v>0</v>
      </c>
      <c r="AI230" s="1">
        <v>242</v>
      </c>
      <c r="AJ230" s="1">
        <v>0</v>
      </c>
      <c r="AK230" s="1">
        <v>657</v>
      </c>
      <c r="AL230" s="1">
        <v>0</v>
      </c>
      <c r="AM230" s="1">
        <v>213</v>
      </c>
      <c r="AN230" s="1">
        <v>0</v>
      </c>
      <c r="AO230" s="1">
        <v>78</v>
      </c>
      <c r="AP230" s="1">
        <v>0</v>
      </c>
      <c r="AQ230" s="1">
        <v>908</v>
      </c>
      <c r="AR230" s="1">
        <v>0</v>
      </c>
      <c r="AS230" s="1">
        <v>1857</v>
      </c>
      <c r="AT230" s="1">
        <v>0</v>
      </c>
      <c r="AU230" s="1">
        <v>2701</v>
      </c>
      <c r="AV230" s="1">
        <v>0</v>
      </c>
      <c r="AW230" s="1">
        <v>434</v>
      </c>
      <c r="AX230" s="1">
        <v>0</v>
      </c>
      <c r="AY230" s="1">
        <v>3056</v>
      </c>
      <c r="AZ230" s="1">
        <v>0</v>
      </c>
      <c r="BA230" s="1">
        <v>1015</v>
      </c>
    </row>
    <row r="231" spans="1:53">
      <c r="A231" s="19">
        <v>62022</v>
      </c>
      <c r="B231" s="1">
        <v>2024</v>
      </c>
      <c r="C231" s="1">
        <v>34255</v>
      </c>
      <c r="D231" s="1">
        <v>0</v>
      </c>
      <c r="E231" s="1">
        <v>307</v>
      </c>
      <c r="F231" s="1">
        <v>207</v>
      </c>
      <c r="G231" s="1">
        <v>729</v>
      </c>
      <c r="H231" s="1">
        <v>5215</v>
      </c>
      <c r="I231" s="1">
        <v>5872</v>
      </c>
      <c r="J231" s="1">
        <v>267</v>
      </c>
      <c r="K231" s="1">
        <v>161</v>
      </c>
      <c r="L231" s="1">
        <v>0</v>
      </c>
      <c r="M231" s="1">
        <v>61</v>
      </c>
      <c r="N231" s="1">
        <v>15</v>
      </c>
      <c r="O231" s="1">
        <v>46</v>
      </c>
      <c r="P231" s="1">
        <v>40</v>
      </c>
      <c r="Q231" s="1">
        <v>90</v>
      </c>
      <c r="R231" s="1">
        <v>0</v>
      </c>
      <c r="S231" s="1">
        <v>80</v>
      </c>
      <c r="T231" s="1">
        <v>342</v>
      </c>
      <c r="U231" s="1">
        <v>748</v>
      </c>
      <c r="V231" s="1">
        <v>0</v>
      </c>
      <c r="W231" s="1">
        <v>1233</v>
      </c>
      <c r="X231" s="1">
        <v>31</v>
      </c>
      <c r="Y231" s="1">
        <v>206</v>
      </c>
      <c r="Z231" s="1">
        <v>0</v>
      </c>
      <c r="AA231" s="1">
        <v>1</v>
      </c>
      <c r="AB231" s="1">
        <v>0</v>
      </c>
      <c r="AC231" s="1">
        <v>869</v>
      </c>
      <c r="AD231" s="1">
        <v>18</v>
      </c>
      <c r="AE231" s="1">
        <v>2279</v>
      </c>
      <c r="AF231" s="1">
        <v>61</v>
      </c>
      <c r="AG231" s="1">
        <v>903</v>
      </c>
      <c r="AH231" s="1">
        <v>0</v>
      </c>
      <c r="AI231" s="1">
        <v>42</v>
      </c>
      <c r="AJ231" s="1">
        <v>24</v>
      </c>
      <c r="AK231" s="1">
        <v>0</v>
      </c>
      <c r="AL231" s="1">
        <v>31</v>
      </c>
      <c r="AM231" s="1">
        <v>1030</v>
      </c>
      <c r="AN231" s="1">
        <v>0</v>
      </c>
      <c r="AO231" s="1">
        <v>153</v>
      </c>
      <c r="AP231" s="1">
        <v>0</v>
      </c>
      <c r="AQ231" s="1">
        <v>1563</v>
      </c>
      <c r="AR231" s="1">
        <v>0</v>
      </c>
      <c r="AS231" s="1">
        <v>4489</v>
      </c>
      <c r="AT231" s="1">
        <v>0</v>
      </c>
      <c r="AU231" s="1">
        <v>4661</v>
      </c>
      <c r="AV231" s="1">
        <v>0</v>
      </c>
      <c r="AW231" s="1">
        <v>444</v>
      </c>
      <c r="AX231" s="1">
        <v>0</v>
      </c>
      <c r="AY231" s="1">
        <v>2037</v>
      </c>
      <c r="AZ231" s="1">
        <v>0</v>
      </c>
      <c r="BA231" s="1">
        <v>0</v>
      </c>
    </row>
    <row r="232" spans="1:53">
      <c r="A232" s="19">
        <v>62026</v>
      </c>
      <c r="B232" s="1">
        <v>2024</v>
      </c>
      <c r="C232" s="1">
        <v>41111</v>
      </c>
      <c r="D232" s="1">
        <v>0</v>
      </c>
      <c r="E232" s="1">
        <v>0</v>
      </c>
      <c r="F232" s="1">
        <v>287</v>
      </c>
      <c r="G232" s="1">
        <v>251</v>
      </c>
      <c r="H232" s="1">
        <v>3415</v>
      </c>
      <c r="I232" s="1">
        <v>5990</v>
      </c>
      <c r="J232" s="1">
        <v>2110</v>
      </c>
      <c r="K232" s="1">
        <v>975</v>
      </c>
      <c r="L232" s="1">
        <v>19</v>
      </c>
      <c r="M232" s="1">
        <v>0</v>
      </c>
      <c r="N232" s="1">
        <v>0</v>
      </c>
      <c r="O232" s="1">
        <v>208</v>
      </c>
      <c r="P232" s="1">
        <v>13</v>
      </c>
      <c r="Q232" s="1">
        <v>302</v>
      </c>
      <c r="R232" s="1">
        <v>13</v>
      </c>
      <c r="S232" s="1">
        <v>172</v>
      </c>
      <c r="T232" s="1">
        <v>0</v>
      </c>
      <c r="U232" s="1">
        <v>0</v>
      </c>
      <c r="V232" s="1">
        <v>34</v>
      </c>
      <c r="W232" s="1">
        <v>926</v>
      </c>
      <c r="X232" s="1">
        <v>191</v>
      </c>
      <c r="Y232" s="1">
        <v>2870</v>
      </c>
      <c r="Z232" s="1">
        <v>213</v>
      </c>
      <c r="AA232" s="1">
        <v>514</v>
      </c>
      <c r="AB232" s="1">
        <v>0</v>
      </c>
      <c r="AC232" s="1">
        <v>87</v>
      </c>
      <c r="AD232" s="1">
        <v>0</v>
      </c>
      <c r="AE232" s="1">
        <v>649</v>
      </c>
      <c r="AF232" s="1">
        <v>0</v>
      </c>
      <c r="AG232" s="1">
        <v>1859</v>
      </c>
      <c r="AH232" s="1">
        <v>47</v>
      </c>
      <c r="AI232" s="1">
        <v>181</v>
      </c>
      <c r="AJ232" s="1">
        <v>90</v>
      </c>
      <c r="AK232" s="1">
        <v>394</v>
      </c>
      <c r="AL232" s="1">
        <v>0</v>
      </c>
      <c r="AM232" s="1">
        <v>1466</v>
      </c>
      <c r="AN232" s="1">
        <v>0</v>
      </c>
      <c r="AO232" s="1">
        <v>796</v>
      </c>
      <c r="AP232" s="1">
        <v>0</v>
      </c>
      <c r="AQ232" s="1">
        <v>379</v>
      </c>
      <c r="AR232" s="1">
        <v>0</v>
      </c>
      <c r="AS232" s="1">
        <v>864</v>
      </c>
      <c r="AT232" s="1">
        <v>0</v>
      </c>
      <c r="AU232" s="1">
        <v>10094</v>
      </c>
      <c r="AV232" s="1">
        <v>0</v>
      </c>
      <c r="AW232" s="1">
        <v>1280</v>
      </c>
      <c r="AX232" s="1">
        <v>0</v>
      </c>
      <c r="AY232" s="1">
        <v>4422</v>
      </c>
      <c r="AZ232" s="1">
        <v>0</v>
      </c>
      <c r="BA232" s="1">
        <v>0</v>
      </c>
    </row>
    <row r="233" spans="1:53">
      <c r="A233" s="19">
        <v>62027</v>
      </c>
      <c r="B233" s="1">
        <v>2024</v>
      </c>
      <c r="C233" s="1">
        <v>46547</v>
      </c>
      <c r="D233" s="1">
        <v>0</v>
      </c>
      <c r="E233" s="1">
        <v>0</v>
      </c>
      <c r="F233" s="1">
        <v>206</v>
      </c>
      <c r="G233" s="1">
        <v>341</v>
      </c>
      <c r="H233" s="1">
        <v>2836</v>
      </c>
      <c r="I233" s="1">
        <v>5834</v>
      </c>
      <c r="J233" s="1">
        <v>1365</v>
      </c>
      <c r="K233" s="1">
        <v>233</v>
      </c>
      <c r="L233" s="1">
        <v>42</v>
      </c>
      <c r="M233" s="1">
        <v>10</v>
      </c>
      <c r="N233" s="1">
        <v>62</v>
      </c>
      <c r="O233" s="1">
        <v>315</v>
      </c>
      <c r="P233" s="1">
        <v>169</v>
      </c>
      <c r="Q233" s="1">
        <v>161</v>
      </c>
      <c r="R233" s="1">
        <v>4</v>
      </c>
      <c r="S233" s="1">
        <v>519</v>
      </c>
      <c r="T233" s="1">
        <v>91</v>
      </c>
      <c r="U233" s="1">
        <v>319</v>
      </c>
      <c r="V233" s="1">
        <v>329</v>
      </c>
      <c r="W233" s="1">
        <v>1056</v>
      </c>
      <c r="X233" s="1">
        <v>161</v>
      </c>
      <c r="Y233" s="1">
        <v>1779</v>
      </c>
      <c r="Z233" s="1">
        <v>97</v>
      </c>
      <c r="AA233" s="1">
        <v>571</v>
      </c>
      <c r="AB233" s="1">
        <v>89</v>
      </c>
      <c r="AC233" s="1">
        <v>413</v>
      </c>
      <c r="AD233" s="1">
        <v>0</v>
      </c>
      <c r="AE233" s="1">
        <v>1415</v>
      </c>
      <c r="AF233" s="1">
        <v>210</v>
      </c>
      <c r="AG233" s="1">
        <v>1371</v>
      </c>
      <c r="AH233" s="1">
        <v>0</v>
      </c>
      <c r="AI233" s="1">
        <v>231</v>
      </c>
      <c r="AJ233" s="1">
        <v>135</v>
      </c>
      <c r="AK233" s="1">
        <v>438</v>
      </c>
      <c r="AL233" s="1">
        <v>0</v>
      </c>
      <c r="AM233" s="1">
        <v>2660</v>
      </c>
      <c r="AN233" s="1">
        <v>0</v>
      </c>
      <c r="AO233" s="1">
        <v>657</v>
      </c>
      <c r="AP233" s="1">
        <v>0</v>
      </c>
      <c r="AQ233" s="1">
        <v>1416</v>
      </c>
      <c r="AR233" s="1">
        <v>0</v>
      </c>
      <c r="AS233" s="1">
        <v>4342</v>
      </c>
      <c r="AT233" s="1">
        <v>0</v>
      </c>
      <c r="AU233" s="1">
        <v>11715</v>
      </c>
      <c r="AV233" s="1">
        <v>0</v>
      </c>
      <c r="AW233" s="1">
        <v>1752</v>
      </c>
      <c r="AX233" s="1">
        <v>0</v>
      </c>
      <c r="AY233" s="1">
        <v>754</v>
      </c>
      <c r="AZ233" s="1">
        <v>0</v>
      </c>
      <c r="BA233" s="1">
        <v>2449</v>
      </c>
    </row>
    <row r="234" spans="1:53">
      <c r="A234" s="19">
        <v>62028</v>
      </c>
      <c r="B234" s="1">
        <v>2024</v>
      </c>
      <c r="C234" s="1">
        <v>30211</v>
      </c>
      <c r="D234" s="1">
        <v>0</v>
      </c>
      <c r="E234" s="1">
        <v>2183</v>
      </c>
      <c r="F234" s="1">
        <v>40</v>
      </c>
      <c r="G234" s="1">
        <v>475</v>
      </c>
      <c r="H234" s="1">
        <v>2964</v>
      </c>
      <c r="I234" s="1">
        <v>1146</v>
      </c>
      <c r="J234" s="1">
        <v>327</v>
      </c>
      <c r="K234" s="1">
        <v>761</v>
      </c>
      <c r="L234" s="1">
        <v>0</v>
      </c>
      <c r="M234" s="1">
        <v>1</v>
      </c>
      <c r="N234" s="1">
        <v>110</v>
      </c>
      <c r="O234" s="1">
        <v>306</v>
      </c>
      <c r="P234" s="1">
        <v>42</v>
      </c>
      <c r="Q234" s="1">
        <v>251</v>
      </c>
      <c r="R234" s="1">
        <v>0</v>
      </c>
      <c r="S234" s="1">
        <v>290</v>
      </c>
      <c r="T234" s="1">
        <v>15</v>
      </c>
      <c r="U234" s="1">
        <v>971</v>
      </c>
      <c r="V234" s="1">
        <v>185</v>
      </c>
      <c r="W234" s="1">
        <v>1186</v>
      </c>
      <c r="X234" s="1">
        <v>0</v>
      </c>
      <c r="Y234" s="1">
        <v>695</v>
      </c>
      <c r="Z234" s="1">
        <v>0</v>
      </c>
      <c r="AA234" s="1">
        <v>335</v>
      </c>
      <c r="AB234" s="1">
        <v>0</v>
      </c>
      <c r="AC234" s="1">
        <v>730</v>
      </c>
      <c r="AD234" s="1">
        <v>324</v>
      </c>
      <c r="AE234" s="1">
        <v>2815</v>
      </c>
      <c r="AF234" s="1">
        <v>131</v>
      </c>
      <c r="AG234" s="1">
        <v>583</v>
      </c>
      <c r="AH234" s="1">
        <v>41</v>
      </c>
      <c r="AI234" s="1">
        <v>25</v>
      </c>
      <c r="AJ234" s="1">
        <v>147</v>
      </c>
      <c r="AK234" s="1">
        <v>2091</v>
      </c>
      <c r="AL234" s="1">
        <v>0</v>
      </c>
      <c r="AM234" s="1">
        <v>240</v>
      </c>
      <c r="AN234" s="1">
        <v>0</v>
      </c>
      <c r="AO234" s="1">
        <v>719</v>
      </c>
      <c r="AP234" s="1">
        <v>0</v>
      </c>
      <c r="AQ234" s="1">
        <v>523</v>
      </c>
      <c r="AR234" s="1">
        <v>0</v>
      </c>
      <c r="AS234" s="1">
        <v>2565</v>
      </c>
      <c r="AT234" s="1">
        <v>0</v>
      </c>
      <c r="AU234" s="1">
        <v>1157</v>
      </c>
      <c r="AV234" s="1">
        <v>0</v>
      </c>
      <c r="AW234" s="1">
        <v>800</v>
      </c>
      <c r="AX234" s="1">
        <v>0</v>
      </c>
      <c r="AY234" s="1">
        <v>4030</v>
      </c>
      <c r="AZ234" s="1">
        <v>0</v>
      </c>
      <c r="BA234" s="1">
        <v>1007</v>
      </c>
    </row>
    <row r="235" spans="1:53">
      <c r="A235" s="19">
        <v>62030</v>
      </c>
      <c r="B235" s="1">
        <v>2024</v>
      </c>
      <c r="C235" s="1">
        <v>22489</v>
      </c>
      <c r="D235" s="1">
        <v>0</v>
      </c>
      <c r="E235" s="1">
        <v>0</v>
      </c>
      <c r="F235" s="1">
        <v>100</v>
      </c>
      <c r="G235" s="1">
        <v>114</v>
      </c>
      <c r="H235" s="1">
        <v>1153</v>
      </c>
      <c r="I235" s="1">
        <v>3773</v>
      </c>
      <c r="J235" s="1">
        <v>276</v>
      </c>
      <c r="K235" s="1">
        <v>444</v>
      </c>
      <c r="L235" s="1">
        <v>0</v>
      </c>
      <c r="M235" s="1">
        <v>34</v>
      </c>
      <c r="N235" s="1">
        <v>48</v>
      </c>
      <c r="O235" s="1">
        <v>467</v>
      </c>
      <c r="P235" s="1">
        <v>224</v>
      </c>
      <c r="Q235" s="1">
        <v>2301</v>
      </c>
      <c r="R235" s="1">
        <v>0</v>
      </c>
      <c r="S235" s="1">
        <v>769</v>
      </c>
      <c r="T235" s="1">
        <v>0</v>
      </c>
      <c r="U235" s="1">
        <v>171</v>
      </c>
      <c r="V235" s="1">
        <v>223</v>
      </c>
      <c r="W235" s="1">
        <v>554</v>
      </c>
      <c r="X235" s="1">
        <v>4</v>
      </c>
      <c r="Y235" s="1">
        <v>989</v>
      </c>
      <c r="Z235" s="1">
        <v>15</v>
      </c>
      <c r="AA235" s="1">
        <v>0</v>
      </c>
      <c r="AB235" s="1">
        <v>0</v>
      </c>
      <c r="AC235" s="1">
        <v>123</v>
      </c>
      <c r="AD235" s="1">
        <v>0</v>
      </c>
      <c r="AE235" s="1">
        <v>485</v>
      </c>
      <c r="AF235" s="1">
        <v>161</v>
      </c>
      <c r="AG235" s="1">
        <v>674</v>
      </c>
      <c r="AH235" s="1">
        <v>0</v>
      </c>
      <c r="AI235" s="1">
        <v>83</v>
      </c>
      <c r="AJ235" s="1">
        <v>0</v>
      </c>
      <c r="AK235" s="1">
        <v>507</v>
      </c>
      <c r="AL235" s="1">
        <v>0</v>
      </c>
      <c r="AM235" s="1">
        <v>0</v>
      </c>
      <c r="AN235" s="1">
        <v>0</v>
      </c>
      <c r="AO235" s="1">
        <v>596</v>
      </c>
      <c r="AP235" s="1">
        <v>0</v>
      </c>
      <c r="AQ235" s="1">
        <v>208</v>
      </c>
      <c r="AR235" s="1">
        <v>0</v>
      </c>
      <c r="AS235" s="1">
        <v>1515</v>
      </c>
      <c r="AT235" s="1">
        <v>0</v>
      </c>
      <c r="AU235" s="1">
        <v>3750</v>
      </c>
      <c r="AV235" s="1">
        <v>0</v>
      </c>
      <c r="AW235" s="1">
        <v>907</v>
      </c>
      <c r="AX235" s="1">
        <v>0</v>
      </c>
      <c r="AY235" s="1">
        <v>1188</v>
      </c>
      <c r="AZ235" s="1">
        <v>0</v>
      </c>
      <c r="BA235" s="1">
        <v>633</v>
      </c>
    </row>
    <row r="236" spans="1:53">
      <c r="A236" s="19">
        <v>62031</v>
      </c>
      <c r="B236" s="1">
        <v>2024</v>
      </c>
      <c r="C236" s="1">
        <v>33945</v>
      </c>
      <c r="D236" s="1">
        <v>0</v>
      </c>
      <c r="E236" s="1">
        <v>0</v>
      </c>
      <c r="F236" s="1">
        <v>1120</v>
      </c>
      <c r="G236" s="1">
        <v>495</v>
      </c>
      <c r="H236" s="1">
        <v>4188</v>
      </c>
      <c r="I236" s="1">
        <v>4236</v>
      </c>
      <c r="J236" s="1">
        <v>764</v>
      </c>
      <c r="K236" s="1">
        <v>342</v>
      </c>
      <c r="L236" s="1">
        <v>0</v>
      </c>
      <c r="M236" s="1">
        <v>92</v>
      </c>
      <c r="N236" s="1">
        <v>0</v>
      </c>
      <c r="O236" s="1">
        <v>495</v>
      </c>
      <c r="P236" s="1">
        <v>0</v>
      </c>
      <c r="Q236" s="1">
        <v>170</v>
      </c>
      <c r="R236" s="1">
        <v>0</v>
      </c>
      <c r="S236" s="1">
        <v>24</v>
      </c>
      <c r="T236" s="1">
        <v>33</v>
      </c>
      <c r="U236" s="1">
        <v>597</v>
      </c>
      <c r="V236" s="1">
        <v>76</v>
      </c>
      <c r="W236" s="1">
        <v>1943</v>
      </c>
      <c r="X236" s="1">
        <v>87</v>
      </c>
      <c r="Y236" s="1">
        <v>1951</v>
      </c>
      <c r="Z236" s="1">
        <v>311</v>
      </c>
      <c r="AA236" s="1">
        <v>413</v>
      </c>
      <c r="AB236" s="1">
        <v>0</v>
      </c>
      <c r="AC236" s="1">
        <v>235</v>
      </c>
      <c r="AD236" s="1">
        <v>0</v>
      </c>
      <c r="AE236" s="1">
        <v>573</v>
      </c>
      <c r="AF236" s="1">
        <v>0</v>
      </c>
      <c r="AG236" s="1">
        <v>730</v>
      </c>
      <c r="AH236" s="1">
        <v>0</v>
      </c>
      <c r="AI236" s="1">
        <v>92</v>
      </c>
      <c r="AJ236" s="1">
        <v>55</v>
      </c>
      <c r="AK236" s="1">
        <v>522</v>
      </c>
      <c r="AL236" s="1">
        <v>0</v>
      </c>
      <c r="AM236" s="1">
        <v>793</v>
      </c>
      <c r="AN236" s="1">
        <v>0</v>
      </c>
      <c r="AO236" s="1">
        <v>717</v>
      </c>
      <c r="AP236" s="1">
        <v>0</v>
      </c>
      <c r="AQ236" s="1">
        <v>1181</v>
      </c>
      <c r="AR236" s="1">
        <v>92</v>
      </c>
      <c r="AS236" s="1">
        <v>2402</v>
      </c>
      <c r="AT236" s="1">
        <v>0</v>
      </c>
      <c r="AU236" s="1">
        <v>6053</v>
      </c>
      <c r="AV236" s="1">
        <v>30</v>
      </c>
      <c r="AW236" s="1">
        <v>812</v>
      </c>
      <c r="AX236" s="1">
        <v>0</v>
      </c>
      <c r="AY236" s="1">
        <v>2321</v>
      </c>
      <c r="AZ236" s="1">
        <v>0</v>
      </c>
      <c r="BA236" s="1">
        <v>0</v>
      </c>
    </row>
    <row r="237" spans="1:53">
      <c r="A237" s="19">
        <v>62032</v>
      </c>
      <c r="B237" s="1">
        <v>2024</v>
      </c>
      <c r="C237" s="1">
        <v>28263</v>
      </c>
      <c r="D237" s="1">
        <v>0</v>
      </c>
      <c r="E237" s="1">
        <v>0</v>
      </c>
      <c r="F237" s="1">
        <v>0</v>
      </c>
      <c r="G237" s="1">
        <v>140</v>
      </c>
      <c r="H237" s="1">
        <v>2019</v>
      </c>
      <c r="I237" s="1">
        <v>2426</v>
      </c>
      <c r="J237" s="1">
        <v>2222</v>
      </c>
      <c r="K237" s="1">
        <v>896</v>
      </c>
      <c r="L237" s="1">
        <v>0</v>
      </c>
      <c r="M237" s="1">
        <v>0</v>
      </c>
      <c r="N237" s="1">
        <v>25</v>
      </c>
      <c r="O237" s="1">
        <v>0</v>
      </c>
      <c r="P237" s="1">
        <v>0</v>
      </c>
      <c r="Q237" s="1">
        <v>0</v>
      </c>
      <c r="R237" s="1">
        <v>0</v>
      </c>
      <c r="S237" s="1">
        <v>96</v>
      </c>
      <c r="T237" s="1">
        <v>0</v>
      </c>
      <c r="U237" s="1">
        <v>124</v>
      </c>
      <c r="V237" s="1">
        <v>92</v>
      </c>
      <c r="W237" s="1">
        <v>531</v>
      </c>
      <c r="X237" s="1">
        <v>0</v>
      </c>
      <c r="Y237" s="1">
        <v>708</v>
      </c>
      <c r="Z237" s="1">
        <v>0</v>
      </c>
      <c r="AA237" s="1">
        <v>286</v>
      </c>
      <c r="AB237" s="1">
        <v>0</v>
      </c>
      <c r="AC237" s="1">
        <v>178</v>
      </c>
      <c r="AD237" s="1">
        <v>0</v>
      </c>
      <c r="AE237" s="1">
        <v>1051</v>
      </c>
      <c r="AF237" s="1">
        <v>31</v>
      </c>
      <c r="AG237" s="1">
        <v>2290</v>
      </c>
      <c r="AH237" s="1">
        <v>0</v>
      </c>
      <c r="AI237" s="1">
        <v>733</v>
      </c>
      <c r="AJ237" s="1">
        <v>0</v>
      </c>
      <c r="AK237" s="1">
        <v>230</v>
      </c>
      <c r="AL237" s="1">
        <v>0</v>
      </c>
      <c r="AM237" s="1">
        <v>1753</v>
      </c>
      <c r="AN237" s="1">
        <v>0</v>
      </c>
      <c r="AO237" s="1">
        <v>393</v>
      </c>
      <c r="AP237" s="1">
        <v>0</v>
      </c>
      <c r="AQ237" s="1">
        <v>218</v>
      </c>
      <c r="AR237" s="1">
        <v>0</v>
      </c>
      <c r="AS237" s="1">
        <v>1209</v>
      </c>
      <c r="AT237" s="1">
        <v>0</v>
      </c>
      <c r="AU237" s="1">
        <v>5862</v>
      </c>
      <c r="AV237" s="1">
        <v>0</v>
      </c>
      <c r="AW237" s="1">
        <v>3263</v>
      </c>
      <c r="AX237" s="1">
        <v>0</v>
      </c>
      <c r="AY237" s="1">
        <v>1220</v>
      </c>
      <c r="AZ237" s="1">
        <v>0</v>
      </c>
      <c r="BA237" s="1">
        <v>267</v>
      </c>
    </row>
    <row r="238" spans="1:53">
      <c r="A238" s="19">
        <v>62034</v>
      </c>
      <c r="B238" s="1">
        <v>2024</v>
      </c>
      <c r="C238" s="1">
        <v>18638</v>
      </c>
      <c r="D238" s="1">
        <v>0</v>
      </c>
      <c r="E238" s="1">
        <v>0</v>
      </c>
      <c r="F238" s="1">
        <v>141</v>
      </c>
      <c r="G238" s="1">
        <v>308</v>
      </c>
      <c r="H238" s="1">
        <v>678</v>
      </c>
      <c r="I238" s="1">
        <v>978</v>
      </c>
      <c r="J238" s="1">
        <v>425</v>
      </c>
      <c r="K238" s="1">
        <v>824</v>
      </c>
      <c r="L238" s="1">
        <v>0</v>
      </c>
      <c r="M238" s="1">
        <v>110</v>
      </c>
      <c r="N238" s="1">
        <v>43</v>
      </c>
      <c r="O238" s="1">
        <v>429</v>
      </c>
      <c r="P238" s="1">
        <v>43</v>
      </c>
      <c r="Q238" s="1">
        <v>493</v>
      </c>
      <c r="R238" s="1">
        <v>0</v>
      </c>
      <c r="S238" s="1">
        <v>209</v>
      </c>
      <c r="T238" s="1">
        <v>90</v>
      </c>
      <c r="U238" s="1">
        <v>240</v>
      </c>
      <c r="V238" s="1">
        <v>52</v>
      </c>
      <c r="W238" s="1">
        <v>376</v>
      </c>
      <c r="X238" s="1">
        <v>222</v>
      </c>
      <c r="Y238" s="1">
        <v>717</v>
      </c>
      <c r="Z238" s="1">
        <v>47</v>
      </c>
      <c r="AA238" s="1">
        <v>335</v>
      </c>
      <c r="AB238" s="1">
        <v>0</v>
      </c>
      <c r="AC238" s="1">
        <v>0</v>
      </c>
      <c r="AD238" s="1">
        <v>0</v>
      </c>
      <c r="AE238" s="1">
        <v>509</v>
      </c>
      <c r="AF238" s="1">
        <v>49</v>
      </c>
      <c r="AG238" s="1">
        <v>1317</v>
      </c>
      <c r="AH238" s="1">
        <v>0</v>
      </c>
      <c r="AI238" s="1">
        <v>707</v>
      </c>
      <c r="AJ238" s="1">
        <v>165</v>
      </c>
      <c r="AK238" s="1">
        <v>2441</v>
      </c>
      <c r="AL238" s="1">
        <v>0</v>
      </c>
      <c r="AM238" s="1">
        <v>329</v>
      </c>
      <c r="AN238" s="1">
        <v>0</v>
      </c>
      <c r="AO238" s="1">
        <v>390</v>
      </c>
      <c r="AP238" s="1">
        <v>0</v>
      </c>
      <c r="AQ238" s="1">
        <v>0</v>
      </c>
      <c r="AR238" s="1">
        <v>0</v>
      </c>
      <c r="AS238" s="1">
        <v>462</v>
      </c>
      <c r="AT238" s="1">
        <v>0</v>
      </c>
      <c r="AU238" s="1">
        <v>1822</v>
      </c>
      <c r="AV238" s="1">
        <v>0</v>
      </c>
      <c r="AW238" s="1">
        <v>693</v>
      </c>
      <c r="AX238" s="1">
        <v>0</v>
      </c>
      <c r="AY238" s="1">
        <v>2994</v>
      </c>
      <c r="AZ238" s="1">
        <v>0</v>
      </c>
      <c r="BA238" s="1">
        <v>0</v>
      </c>
    </row>
    <row r="239" spans="1:53">
      <c r="A239" s="19">
        <v>62037</v>
      </c>
      <c r="B239" s="1">
        <v>2024</v>
      </c>
      <c r="C239" s="1">
        <v>19688</v>
      </c>
      <c r="D239" s="1">
        <v>0</v>
      </c>
      <c r="E239" s="1">
        <v>0</v>
      </c>
      <c r="F239" s="1">
        <v>101</v>
      </c>
      <c r="G239" s="1">
        <v>261</v>
      </c>
      <c r="H239" s="1">
        <v>1065</v>
      </c>
      <c r="I239" s="1">
        <v>2065</v>
      </c>
      <c r="J239" s="1">
        <v>995</v>
      </c>
      <c r="K239" s="1">
        <v>300</v>
      </c>
      <c r="L239" s="1">
        <v>0</v>
      </c>
      <c r="M239" s="1">
        <v>4</v>
      </c>
      <c r="N239" s="1">
        <v>0</v>
      </c>
      <c r="O239" s="1">
        <v>0</v>
      </c>
      <c r="P239" s="1">
        <v>3</v>
      </c>
      <c r="Q239" s="1">
        <v>134</v>
      </c>
      <c r="R239" s="1">
        <v>0</v>
      </c>
      <c r="S239" s="1">
        <v>181</v>
      </c>
      <c r="T239" s="1">
        <v>9</v>
      </c>
      <c r="U239" s="1">
        <v>647</v>
      </c>
      <c r="V239" s="1">
        <v>0</v>
      </c>
      <c r="W239" s="1">
        <v>321</v>
      </c>
      <c r="X239" s="1">
        <v>0</v>
      </c>
      <c r="Y239" s="1">
        <v>821</v>
      </c>
      <c r="Z239" s="1">
        <v>0</v>
      </c>
      <c r="AA239" s="1">
        <v>454</v>
      </c>
      <c r="AB239" s="1">
        <v>0</v>
      </c>
      <c r="AC239" s="1">
        <v>168</v>
      </c>
      <c r="AD239" s="1">
        <v>0</v>
      </c>
      <c r="AE239" s="1">
        <v>469</v>
      </c>
      <c r="AF239" s="1">
        <v>3</v>
      </c>
      <c r="AG239" s="1">
        <v>961</v>
      </c>
      <c r="AH239" s="1">
        <v>0</v>
      </c>
      <c r="AI239" s="1">
        <v>237</v>
      </c>
      <c r="AJ239" s="1">
        <v>0</v>
      </c>
      <c r="AK239" s="1">
        <v>128</v>
      </c>
      <c r="AL239" s="1">
        <v>0</v>
      </c>
      <c r="AM239" s="1">
        <v>334</v>
      </c>
      <c r="AN239" s="1">
        <v>0</v>
      </c>
      <c r="AO239" s="1">
        <v>0</v>
      </c>
      <c r="AP239" s="1">
        <v>0</v>
      </c>
      <c r="AQ239" s="1">
        <v>349</v>
      </c>
      <c r="AR239" s="1">
        <v>0</v>
      </c>
      <c r="AS239" s="1">
        <v>1592</v>
      </c>
      <c r="AT239" s="1">
        <v>0</v>
      </c>
      <c r="AU239" s="1">
        <v>4970</v>
      </c>
      <c r="AV239" s="1">
        <v>0</v>
      </c>
      <c r="AW239" s="1">
        <v>1316</v>
      </c>
      <c r="AX239" s="1">
        <v>0</v>
      </c>
      <c r="AY239" s="1">
        <v>1688</v>
      </c>
      <c r="AZ239" s="1">
        <v>0</v>
      </c>
      <c r="BA239" s="1">
        <v>112</v>
      </c>
    </row>
    <row r="240" spans="1:53">
      <c r="A240" s="19">
        <v>62040</v>
      </c>
      <c r="B240" s="1">
        <v>2024</v>
      </c>
      <c r="C240" s="1">
        <v>15721</v>
      </c>
      <c r="D240" s="1">
        <v>0</v>
      </c>
      <c r="E240" s="1">
        <v>0</v>
      </c>
      <c r="F240" s="1">
        <v>0</v>
      </c>
      <c r="G240" s="1">
        <v>284</v>
      </c>
      <c r="H240" s="1">
        <v>761</v>
      </c>
      <c r="I240" s="1">
        <v>378</v>
      </c>
      <c r="J240" s="1">
        <v>276</v>
      </c>
      <c r="K240" s="1">
        <v>25</v>
      </c>
      <c r="L240" s="1">
        <v>0</v>
      </c>
      <c r="M240" s="1">
        <v>18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515</v>
      </c>
      <c r="V240" s="1">
        <v>0</v>
      </c>
      <c r="W240" s="1">
        <v>632</v>
      </c>
      <c r="X240" s="1">
        <v>30</v>
      </c>
      <c r="Y240" s="1">
        <v>506</v>
      </c>
      <c r="Z240" s="1">
        <v>0</v>
      </c>
      <c r="AA240" s="1">
        <v>0</v>
      </c>
      <c r="AB240" s="1">
        <v>20</v>
      </c>
      <c r="AC240" s="1">
        <v>16</v>
      </c>
      <c r="AD240" s="1">
        <v>0</v>
      </c>
      <c r="AE240" s="1">
        <v>220</v>
      </c>
      <c r="AF240" s="1">
        <v>0</v>
      </c>
      <c r="AG240" s="1">
        <v>50</v>
      </c>
      <c r="AH240" s="1">
        <v>0</v>
      </c>
      <c r="AI240" s="1">
        <v>0</v>
      </c>
      <c r="AJ240" s="1">
        <v>0</v>
      </c>
      <c r="AK240" s="1">
        <v>5</v>
      </c>
      <c r="AL240" s="1">
        <v>0</v>
      </c>
      <c r="AM240" s="1">
        <v>1491</v>
      </c>
      <c r="AN240" s="1">
        <v>0</v>
      </c>
      <c r="AO240" s="1">
        <v>183</v>
      </c>
      <c r="AP240" s="1">
        <v>0</v>
      </c>
      <c r="AQ240" s="1">
        <v>821</v>
      </c>
      <c r="AR240" s="1">
        <v>0</v>
      </c>
      <c r="AS240" s="1">
        <v>3189</v>
      </c>
      <c r="AT240" s="1">
        <v>0</v>
      </c>
      <c r="AU240" s="1">
        <v>4997</v>
      </c>
      <c r="AV240" s="1">
        <v>0</v>
      </c>
      <c r="AW240" s="1">
        <v>1180</v>
      </c>
      <c r="AX240" s="1">
        <v>0</v>
      </c>
      <c r="AY240" s="1">
        <v>79</v>
      </c>
      <c r="AZ240" s="1">
        <v>0</v>
      </c>
      <c r="BA240" s="1">
        <v>45</v>
      </c>
    </row>
    <row r="241" spans="1:103">
      <c r="A241" s="19">
        <v>62041</v>
      </c>
      <c r="B241" s="1">
        <v>2024</v>
      </c>
      <c r="C241" s="1">
        <v>21134</v>
      </c>
      <c r="D241" s="1">
        <v>0</v>
      </c>
      <c r="E241" s="1">
        <v>0</v>
      </c>
      <c r="F241" s="1">
        <v>0</v>
      </c>
      <c r="G241" s="1">
        <v>0</v>
      </c>
      <c r="H241" s="1">
        <v>246</v>
      </c>
      <c r="I241" s="1">
        <v>223</v>
      </c>
      <c r="J241" s="1">
        <v>36</v>
      </c>
      <c r="K241" s="1">
        <v>113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92</v>
      </c>
      <c r="R241" s="1">
        <v>0</v>
      </c>
      <c r="S241" s="1">
        <v>0</v>
      </c>
      <c r="T241" s="1">
        <v>0</v>
      </c>
      <c r="U241" s="1">
        <v>1</v>
      </c>
      <c r="V241" s="1">
        <v>194</v>
      </c>
      <c r="W241" s="1">
        <v>603</v>
      </c>
      <c r="X241" s="1">
        <v>247</v>
      </c>
      <c r="Y241" s="1">
        <v>1541</v>
      </c>
      <c r="Z241" s="1">
        <v>0</v>
      </c>
      <c r="AA241" s="1">
        <v>148</v>
      </c>
      <c r="AB241" s="1">
        <v>89</v>
      </c>
      <c r="AC241" s="1">
        <v>189</v>
      </c>
      <c r="AD241" s="1">
        <v>91</v>
      </c>
      <c r="AE241" s="1">
        <v>758</v>
      </c>
      <c r="AF241" s="1">
        <v>36</v>
      </c>
      <c r="AG241" s="1">
        <v>958</v>
      </c>
      <c r="AH241" s="1">
        <v>0</v>
      </c>
      <c r="AI241" s="1">
        <v>120</v>
      </c>
      <c r="AJ241" s="1">
        <v>0</v>
      </c>
      <c r="AK241" s="1">
        <v>205</v>
      </c>
      <c r="AL241" s="1">
        <v>0</v>
      </c>
      <c r="AM241" s="1">
        <v>612</v>
      </c>
      <c r="AN241" s="1">
        <v>0</v>
      </c>
      <c r="AO241" s="1">
        <v>501</v>
      </c>
      <c r="AP241" s="1">
        <v>0</v>
      </c>
      <c r="AQ241" s="1">
        <v>900</v>
      </c>
      <c r="AR241" s="1">
        <v>0</v>
      </c>
      <c r="AS241" s="1">
        <v>3410</v>
      </c>
      <c r="AT241" s="1">
        <v>0</v>
      </c>
      <c r="AU241" s="1">
        <v>4723</v>
      </c>
      <c r="AV241" s="1">
        <v>0</v>
      </c>
      <c r="AW241" s="1">
        <v>2264</v>
      </c>
      <c r="AX241" s="1">
        <v>0</v>
      </c>
      <c r="AY241" s="1">
        <v>2834</v>
      </c>
      <c r="AZ241" s="1">
        <v>0</v>
      </c>
      <c r="BA241" s="1">
        <v>0</v>
      </c>
    </row>
    <row r="242" spans="1:103">
      <c r="A242" s="19">
        <v>62042</v>
      </c>
      <c r="B242" s="1">
        <v>2024</v>
      </c>
      <c r="C242" s="1">
        <v>16306</v>
      </c>
      <c r="D242" s="1">
        <v>0</v>
      </c>
      <c r="E242" s="1">
        <v>0</v>
      </c>
      <c r="F242" s="1">
        <v>95</v>
      </c>
      <c r="G242" s="1">
        <v>337</v>
      </c>
      <c r="H242" s="1">
        <v>1857</v>
      </c>
      <c r="I242" s="1">
        <v>5672</v>
      </c>
      <c r="J242" s="1">
        <v>1036</v>
      </c>
      <c r="K242" s="1">
        <v>386</v>
      </c>
      <c r="L242" s="1">
        <v>0</v>
      </c>
      <c r="M242" s="1">
        <v>0</v>
      </c>
      <c r="N242" s="1">
        <v>98</v>
      </c>
      <c r="O242" s="1">
        <v>0</v>
      </c>
      <c r="P242" s="1">
        <v>54</v>
      </c>
      <c r="Q242" s="1">
        <v>57</v>
      </c>
      <c r="R242" s="1">
        <v>0</v>
      </c>
      <c r="S242" s="1">
        <v>89</v>
      </c>
      <c r="T242" s="1">
        <v>0</v>
      </c>
      <c r="U242" s="1">
        <v>518</v>
      </c>
      <c r="V242" s="1">
        <v>5</v>
      </c>
      <c r="W242" s="1">
        <v>325</v>
      </c>
      <c r="X242" s="1">
        <v>9</v>
      </c>
      <c r="Y242" s="1">
        <v>275</v>
      </c>
      <c r="Z242" s="1">
        <v>29</v>
      </c>
      <c r="AA242" s="1">
        <v>122</v>
      </c>
      <c r="AB242" s="1">
        <v>0</v>
      </c>
      <c r="AC242" s="1">
        <v>209</v>
      </c>
      <c r="AD242" s="1">
        <v>0</v>
      </c>
      <c r="AE242" s="1">
        <v>143</v>
      </c>
      <c r="AF242" s="1">
        <v>11</v>
      </c>
      <c r="AG242" s="1">
        <v>641</v>
      </c>
      <c r="AH242" s="1">
        <v>0</v>
      </c>
      <c r="AI242" s="1">
        <v>18</v>
      </c>
      <c r="AJ242" s="1">
        <v>84</v>
      </c>
      <c r="AK242" s="1">
        <v>384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1575</v>
      </c>
      <c r="AR242" s="1">
        <v>0</v>
      </c>
      <c r="AS242" s="1">
        <v>876</v>
      </c>
      <c r="AT242" s="1">
        <v>0</v>
      </c>
      <c r="AU242" s="1">
        <v>899</v>
      </c>
      <c r="AV242" s="1">
        <v>0</v>
      </c>
      <c r="AW242" s="1">
        <v>401</v>
      </c>
      <c r="AX242" s="1">
        <v>0</v>
      </c>
      <c r="AY242" s="1">
        <v>73</v>
      </c>
      <c r="AZ242" s="1">
        <v>0</v>
      </c>
      <c r="BA242" s="1">
        <v>28</v>
      </c>
    </row>
    <row r="243" spans="1:103">
      <c r="A243" s="19">
        <v>64001</v>
      </c>
      <c r="B243" s="1">
        <v>2024</v>
      </c>
      <c r="C243" s="1">
        <v>13902</v>
      </c>
      <c r="D243" s="1">
        <v>0</v>
      </c>
      <c r="E243" s="1">
        <v>0</v>
      </c>
      <c r="F243" s="1">
        <v>112</v>
      </c>
      <c r="G243" s="1">
        <v>45</v>
      </c>
      <c r="H243" s="1">
        <v>528</v>
      </c>
      <c r="I243" s="1">
        <v>491</v>
      </c>
      <c r="J243" s="1">
        <v>837</v>
      </c>
      <c r="K243" s="1">
        <v>4039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411</v>
      </c>
      <c r="T243" s="1">
        <v>0</v>
      </c>
      <c r="U243" s="1">
        <v>8</v>
      </c>
      <c r="V243" s="1">
        <v>0</v>
      </c>
      <c r="W243" s="1">
        <v>31</v>
      </c>
      <c r="X243" s="1">
        <v>0</v>
      </c>
      <c r="Y243" s="1">
        <v>29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104</v>
      </c>
      <c r="AF243" s="1">
        <v>0</v>
      </c>
      <c r="AG243" s="1">
        <v>0</v>
      </c>
      <c r="AH243" s="1">
        <v>0</v>
      </c>
      <c r="AI243" s="1">
        <v>6</v>
      </c>
      <c r="AJ243" s="1">
        <v>38</v>
      </c>
      <c r="AK243" s="1">
        <v>1685</v>
      </c>
      <c r="AL243" s="1">
        <v>0</v>
      </c>
      <c r="AM243" s="1">
        <v>63</v>
      </c>
      <c r="AN243" s="1">
        <v>0</v>
      </c>
      <c r="AO243" s="1">
        <v>1186</v>
      </c>
      <c r="AP243" s="1">
        <v>0</v>
      </c>
      <c r="AQ243" s="1">
        <v>328</v>
      </c>
      <c r="AR243" s="1">
        <v>0</v>
      </c>
      <c r="AS243" s="1">
        <v>0</v>
      </c>
      <c r="AT243" s="1">
        <v>0</v>
      </c>
      <c r="AU243" s="1">
        <v>16</v>
      </c>
      <c r="AV243" s="1">
        <v>0</v>
      </c>
      <c r="AW243" s="1">
        <v>128</v>
      </c>
      <c r="AX243" s="1">
        <v>0</v>
      </c>
      <c r="AY243" s="1">
        <v>3817</v>
      </c>
      <c r="AZ243" s="1">
        <v>0</v>
      </c>
      <c r="BA243" s="1">
        <v>0</v>
      </c>
    </row>
    <row r="244" spans="1:103">
      <c r="A244" s="19">
        <v>64002</v>
      </c>
      <c r="B244" s="1">
        <v>2024</v>
      </c>
      <c r="C244" s="1">
        <v>11125</v>
      </c>
      <c r="D244" s="1">
        <v>0</v>
      </c>
      <c r="E244" s="1">
        <v>0</v>
      </c>
      <c r="F244" s="1">
        <v>0</v>
      </c>
      <c r="G244" s="1">
        <v>20</v>
      </c>
      <c r="H244" s="1">
        <v>540</v>
      </c>
      <c r="I244" s="1">
        <v>136</v>
      </c>
      <c r="J244" s="1">
        <v>160</v>
      </c>
      <c r="K244" s="1">
        <v>131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12</v>
      </c>
      <c r="T244" s="1">
        <v>0</v>
      </c>
      <c r="U244" s="1">
        <v>61</v>
      </c>
      <c r="V244" s="1">
        <v>0</v>
      </c>
      <c r="W244" s="1">
        <v>204</v>
      </c>
      <c r="X244" s="1">
        <v>0</v>
      </c>
      <c r="Y244" s="1">
        <v>91</v>
      </c>
      <c r="Z244" s="1">
        <v>0</v>
      </c>
      <c r="AA244" s="1">
        <v>159</v>
      </c>
      <c r="AB244" s="1">
        <v>4</v>
      </c>
      <c r="AC244" s="1">
        <v>33</v>
      </c>
      <c r="AD244" s="1">
        <v>0</v>
      </c>
      <c r="AE244" s="1">
        <v>366</v>
      </c>
      <c r="AF244" s="1">
        <v>0</v>
      </c>
      <c r="AG244" s="1">
        <v>87</v>
      </c>
      <c r="AH244" s="1">
        <v>0</v>
      </c>
      <c r="AI244" s="1">
        <v>15</v>
      </c>
      <c r="AJ244" s="1">
        <v>0</v>
      </c>
      <c r="AK244" s="1">
        <v>199</v>
      </c>
      <c r="AL244" s="1">
        <v>0</v>
      </c>
      <c r="AM244" s="1">
        <v>449</v>
      </c>
      <c r="AN244" s="1">
        <v>0</v>
      </c>
      <c r="AO244" s="1">
        <v>1204</v>
      </c>
      <c r="AP244" s="1">
        <v>0</v>
      </c>
      <c r="AQ244" s="1">
        <v>813</v>
      </c>
      <c r="AR244" s="1">
        <v>0</v>
      </c>
      <c r="AS244" s="1">
        <v>1967</v>
      </c>
      <c r="AT244" s="1">
        <v>0</v>
      </c>
      <c r="AU244" s="1">
        <v>2017</v>
      </c>
      <c r="AV244" s="1">
        <v>0</v>
      </c>
      <c r="AW244" s="1">
        <v>1745</v>
      </c>
      <c r="AX244" s="1">
        <v>0</v>
      </c>
      <c r="AY244" s="1">
        <v>712</v>
      </c>
      <c r="AZ244" s="1">
        <v>0</v>
      </c>
      <c r="BA244" s="1">
        <v>0</v>
      </c>
    </row>
    <row r="245" spans="1:103">
      <c r="A245" s="19">
        <v>64003</v>
      </c>
      <c r="B245" s="1">
        <v>2024</v>
      </c>
      <c r="C245" s="1">
        <v>7102</v>
      </c>
      <c r="D245" s="1">
        <v>0</v>
      </c>
      <c r="E245" s="1">
        <v>0</v>
      </c>
      <c r="F245" s="1">
        <v>33</v>
      </c>
      <c r="G245" s="1">
        <v>29</v>
      </c>
      <c r="H245" s="1">
        <v>18</v>
      </c>
      <c r="I245" s="1">
        <v>776</v>
      </c>
      <c r="J245" s="1">
        <v>6</v>
      </c>
      <c r="K245" s="1">
        <v>14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86</v>
      </c>
      <c r="T245" s="1">
        <v>0</v>
      </c>
      <c r="U245" s="1">
        <v>0</v>
      </c>
      <c r="V245" s="1">
        <v>241</v>
      </c>
      <c r="W245" s="1">
        <v>213</v>
      </c>
      <c r="X245" s="1">
        <v>5</v>
      </c>
      <c r="Y245" s="1">
        <v>742</v>
      </c>
      <c r="Z245" s="1">
        <v>0</v>
      </c>
      <c r="AA245" s="1">
        <v>0</v>
      </c>
      <c r="AB245" s="1">
        <v>0</v>
      </c>
      <c r="AC245" s="1">
        <v>0</v>
      </c>
      <c r="AD245" s="1">
        <v>115</v>
      </c>
      <c r="AE245" s="1">
        <v>31</v>
      </c>
      <c r="AF245" s="1">
        <v>0</v>
      </c>
      <c r="AG245" s="1">
        <v>518</v>
      </c>
      <c r="AH245" s="1">
        <v>0</v>
      </c>
      <c r="AI245" s="1">
        <v>0</v>
      </c>
      <c r="AJ245" s="1">
        <v>0</v>
      </c>
      <c r="AK245" s="1">
        <v>407</v>
      </c>
      <c r="AL245" s="1">
        <v>0</v>
      </c>
      <c r="AM245" s="1">
        <v>54</v>
      </c>
      <c r="AN245" s="1">
        <v>0</v>
      </c>
      <c r="AO245" s="1">
        <v>260</v>
      </c>
      <c r="AP245" s="1">
        <v>0</v>
      </c>
      <c r="AQ245" s="1">
        <v>0</v>
      </c>
      <c r="AR245" s="1">
        <v>0</v>
      </c>
      <c r="AS245" s="1">
        <v>670</v>
      </c>
      <c r="AT245" s="1">
        <v>0</v>
      </c>
      <c r="AU245" s="1">
        <v>2001</v>
      </c>
      <c r="AV245" s="1">
        <v>0</v>
      </c>
      <c r="AW245" s="1">
        <v>527</v>
      </c>
      <c r="AX245" s="1">
        <v>0</v>
      </c>
      <c r="AY245" s="1">
        <v>356</v>
      </c>
      <c r="AZ245" s="1">
        <v>0</v>
      </c>
      <c r="BA245" s="1">
        <v>0</v>
      </c>
    </row>
    <row r="246" spans="1:103">
      <c r="A246" s="19">
        <v>64004</v>
      </c>
      <c r="B246" s="1">
        <v>2024</v>
      </c>
      <c r="C246" s="1">
        <v>12533</v>
      </c>
      <c r="D246" s="1">
        <v>0</v>
      </c>
      <c r="E246" s="1">
        <v>0</v>
      </c>
      <c r="F246" s="1">
        <v>0</v>
      </c>
      <c r="G246" s="1">
        <v>19</v>
      </c>
      <c r="H246" s="1">
        <v>482</v>
      </c>
      <c r="I246" s="1">
        <v>325</v>
      </c>
      <c r="J246" s="1">
        <v>16</v>
      </c>
      <c r="K246" s="1">
        <v>46</v>
      </c>
      <c r="L246" s="1">
        <v>0</v>
      </c>
      <c r="M246" s="1">
        <v>0</v>
      </c>
      <c r="N246" s="1">
        <v>0</v>
      </c>
      <c r="O246" s="1">
        <v>90</v>
      </c>
      <c r="P246" s="1">
        <v>72</v>
      </c>
      <c r="Q246" s="1">
        <v>850</v>
      </c>
      <c r="R246" s="1">
        <v>0</v>
      </c>
      <c r="S246" s="1">
        <v>66</v>
      </c>
      <c r="T246" s="1">
        <v>0</v>
      </c>
      <c r="U246" s="1">
        <v>502</v>
      </c>
      <c r="V246" s="1">
        <v>0</v>
      </c>
      <c r="W246" s="1">
        <v>639</v>
      </c>
      <c r="X246" s="1">
        <v>0</v>
      </c>
      <c r="Y246" s="1">
        <v>1488</v>
      </c>
      <c r="Z246" s="1">
        <v>0</v>
      </c>
      <c r="AA246" s="1">
        <v>124</v>
      </c>
      <c r="AB246" s="1">
        <v>0</v>
      </c>
      <c r="AC246" s="1">
        <v>0</v>
      </c>
      <c r="AD246" s="1">
        <v>0</v>
      </c>
      <c r="AE246" s="1">
        <v>699</v>
      </c>
      <c r="AF246" s="1">
        <v>0</v>
      </c>
      <c r="AG246" s="1">
        <v>392</v>
      </c>
      <c r="AH246" s="1">
        <v>0</v>
      </c>
      <c r="AI246" s="1">
        <v>36</v>
      </c>
      <c r="AJ246" s="1">
        <v>32</v>
      </c>
      <c r="AK246" s="1">
        <v>441</v>
      </c>
      <c r="AL246" s="1">
        <v>0</v>
      </c>
      <c r="AM246" s="1">
        <v>369</v>
      </c>
      <c r="AN246" s="1">
        <v>0</v>
      </c>
      <c r="AO246" s="1">
        <v>8</v>
      </c>
      <c r="AP246" s="1">
        <v>0</v>
      </c>
      <c r="AQ246" s="1">
        <v>587</v>
      </c>
      <c r="AR246" s="1">
        <v>0</v>
      </c>
      <c r="AS246" s="1">
        <v>1223</v>
      </c>
      <c r="AT246" s="1">
        <v>0</v>
      </c>
      <c r="AU246" s="1">
        <v>1916</v>
      </c>
      <c r="AV246" s="1">
        <v>0</v>
      </c>
      <c r="AW246" s="1">
        <v>602</v>
      </c>
      <c r="AX246" s="1">
        <v>0</v>
      </c>
      <c r="AY246" s="1">
        <v>1240</v>
      </c>
      <c r="AZ246" s="1">
        <v>0</v>
      </c>
      <c r="BA246" s="1">
        <v>269</v>
      </c>
    </row>
    <row r="247" spans="1:103">
      <c r="A247" s="19">
        <v>64005</v>
      </c>
      <c r="B247" s="1">
        <v>2024</v>
      </c>
      <c r="C247" s="1">
        <v>9328</v>
      </c>
      <c r="D247" s="1">
        <v>0</v>
      </c>
      <c r="E247" s="1">
        <v>0</v>
      </c>
      <c r="F247" s="1">
        <v>185</v>
      </c>
      <c r="G247" s="1">
        <v>0</v>
      </c>
      <c r="H247" s="1">
        <v>602</v>
      </c>
      <c r="I247" s="1">
        <v>146</v>
      </c>
      <c r="J247" s="1">
        <v>608</v>
      </c>
      <c r="K247" s="1">
        <v>367</v>
      </c>
      <c r="L247" s="1">
        <v>0</v>
      </c>
      <c r="M247" s="1">
        <v>7</v>
      </c>
      <c r="N247" s="1">
        <v>0</v>
      </c>
      <c r="O247" s="1">
        <v>202</v>
      </c>
      <c r="P247" s="1">
        <v>0</v>
      </c>
      <c r="Q247" s="1">
        <v>161</v>
      </c>
      <c r="R247" s="1">
        <v>0</v>
      </c>
      <c r="S247" s="1">
        <v>169</v>
      </c>
      <c r="T247" s="1">
        <v>0</v>
      </c>
      <c r="U247" s="1">
        <v>0</v>
      </c>
      <c r="V247" s="1">
        <v>0</v>
      </c>
      <c r="W247" s="1">
        <v>11</v>
      </c>
      <c r="X247" s="1">
        <v>0</v>
      </c>
      <c r="Y247" s="1">
        <v>78</v>
      </c>
      <c r="Z247" s="1">
        <v>0</v>
      </c>
      <c r="AA247" s="1">
        <v>59</v>
      </c>
      <c r="AB247" s="1">
        <v>0</v>
      </c>
      <c r="AC247" s="1">
        <v>154</v>
      </c>
      <c r="AD247" s="1">
        <v>63</v>
      </c>
      <c r="AE247" s="1">
        <v>361</v>
      </c>
      <c r="AF247" s="1">
        <v>16</v>
      </c>
      <c r="AG247" s="1">
        <v>233</v>
      </c>
      <c r="AH247" s="1">
        <v>97</v>
      </c>
      <c r="AI247" s="1">
        <v>26</v>
      </c>
      <c r="AJ247" s="1">
        <v>0</v>
      </c>
      <c r="AK247" s="1">
        <v>186</v>
      </c>
      <c r="AL247" s="1">
        <v>0</v>
      </c>
      <c r="AM247" s="1">
        <v>392</v>
      </c>
      <c r="AN247" s="1">
        <v>0</v>
      </c>
      <c r="AO247" s="1">
        <v>631</v>
      </c>
      <c r="AP247" s="1">
        <v>45</v>
      </c>
      <c r="AQ247" s="1">
        <v>646</v>
      </c>
      <c r="AR247" s="1">
        <v>0</v>
      </c>
      <c r="AS247" s="1">
        <v>1202</v>
      </c>
      <c r="AT247" s="1">
        <v>0</v>
      </c>
      <c r="AU247" s="1">
        <v>982</v>
      </c>
      <c r="AV247" s="1">
        <v>0</v>
      </c>
      <c r="AW247" s="1">
        <v>448</v>
      </c>
      <c r="AX247" s="1">
        <v>0</v>
      </c>
      <c r="AY247" s="1">
        <v>1251</v>
      </c>
      <c r="AZ247" s="1">
        <v>0</v>
      </c>
      <c r="BA247" s="1">
        <v>0</v>
      </c>
    </row>
    <row r="248" spans="1:103">
      <c r="A248" s="19">
        <v>65001</v>
      </c>
      <c r="B248" s="1">
        <v>2024</v>
      </c>
      <c r="C248" s="1">
        <v>14751</v>
      </c>
      <c r="D248" s="1">
        <v>0</v>
      </c>
      <c r="E248" s="1">
        <v>0</v>
      </c>
      <c r="F248" s="1">
        <v>0</v>
      </c>
      <c r="G248" s="1">
        <v>68</v>
      </c>
      <c r="H248" s="1">
        <v>432</v>
      </c>
      <c r="I248" s="1">
        <v>373</v>
      </c>
      <c r="J248" s="1">
        <v>0</v>
      </c>
      <c r="K248" s="1">
        <v>139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60</v>
      </c>
      <c r="X248" s="1">
        <v>0</v>
      </c>
      <c r="Y248" s="1">
        <v>1011</v>
      </c>
      <c r="Z248" s="1">
        <v>0</v>
      </c>
      <c r="AA248" s="1">
        <v>30</v>
      </c>
      <c r="AB248" s="1">
        <v>0</v>
      </c>
      <c r="AC248" s="1">
        <v>34</v>
      </c>
      <c r="AD248" s="1">
        <v>0</v>
      </c>
      <c r="AE248" s="1">
        <v>0</v>
      </c>
      <c r="AF248" s="1">
        <v>0</v>
      </c>
      <c r="AG248" s="1">
        <v>61</v>
      </c>
      <c r="AH248" s="1">
        <v>0</v>
      </c>
      <c r="AI248" s="1">
        <v>0</v>
      </c>
      <c r="AJ248" s="1">
        <v>0</v>
      </c>
      <c r="AK248" s="1">
        <v>228</v>
      </c>
      <c r="AL248" s="1">
        <v>0</v>
      </c>
      <c r="AM248" s="1">
        <v>738</v>
      </c>
      <c r="AN248" s="1">
        <v>0</v>
      </c>
      <c r="AO248" s="1">
        <v>606</v>
      </c>
      <c r="AP248" s="1">
        <v>0</v>
      </c>
      <c r="AQ248" s="1">
        <v>1571</v>
      </c>
      <c r="AR248" s="1">
        <v>44</v>
      </c>
      <c r="AS248" s="1">
        <v>1346</v>
      </c>
      <c r="AT248" s="1">
        <v>275</v>
      </c>
      <c r="AU248" s="1">
        <v>5063</v>
      </c>
      <c r="AV248" s="1">
        <v>0</v>
      </c>
      <c r="AW248" s="1">
        <v>1231</v>
      </c>
      <c r="AX248" s="1">
        <v>0</v>
      </c>
      <c r="AY248" s="1">
        <v>1441</v>
      </c>
      <c r="AZ248" s="1">
        <v>0</v>
      </c>
      <c r="BA248" s="1">
        <v>0</v>
      </c>
    </row>
    <row r="249" spans="1:103">
      <c r="A249" s="19">
        <v>65002</v>
      </c>
      <c r="B249" s="1">
        <v>2024</v>
      </c>
      <c r="C249" s="1">
        <v>14484</v>
      </c>
      <c r="D249" s="1">
        <v>0</v>
      </c>
      <c r="E249" s="1">
        <v>0</v>
      </c>
      <c r="F249" s="1">
        <v>516</v>
      </c>
      <c r="G249" s="1">
        <v>67</v>
      </c>
      <c r="H249" s="1">
        <v>749</v>
      </c>
      <c r="I249" s="1">
        <v>1671</v>
      </c>
      <c r="J249" s="1">
        <v>882</v>
      </c>
      <c r="K249" s="1">
        <v>401</v>
      </c>
      <c r="L249" s="1">
        <v>0</v>
      </c>
      <c r="M249" s="1">
        <v>0</v>
      </c>
      <c r="N249" s="1">
        <v>2</v>
      </c>
      <c r="O249" s="1">
        <v>54</v>
      </c>
      <c r="P249" s="1">
        <v>58</v>
      </c>
      <c r="Q249" s="1">
        <v>197</v>
      </c>
      <c r="R249" s="1">
        <v>7</v>
      </c>
      <c r="S249" s="1">
        <v>73</v>
      </c>
      <c r="T249" s="1">
        <v>0</v>
      </c>
      <c r="U249" s="1">
        <v>501</v>
      </c>
      <c r="V249" s="1">
        <v>0</v>
      </c>
      <c r="W249" s="1">
        <v>385</v>
      </c>
      <c r="X249" s="1">
        <v>0</v>
      </c>
      <c r="Y249" s="1">
        <v>607</v>
      </c>
      <c r="Z249" s="1">
        <v>0</v>
      </c>
      <c r="AA249" s="1">
        <v>337</v>
      </c>
      <c r="AB249" s="1">
        <v>0</v>
      </c>
      <c r="AC249" s="1">
        <v>252</v>
      </c>
      <c r="AD249" s="1">
        <v>0</v>
      </c>
      <c r="AE249" s="1">
        <v>329</v>
      </c>
      <c r="AF249" s="1">
        <v>92</v>
      </c>
      <c r="AG249" s="1">
        <v>694</v>
      </c>
      <c r="AH249" s="1">
        <v>0</v>
      </c>
      <c r="AI249" s="1">
        <v>40</v>
      </c>
      <c r="AJ249" s="1">
        <v>12</v>
      </c>
      <c r="AK249" s="1">
        <v>963</v>
      </c>
      <c r="AL249" s="1">
        <v>0</v>
      </c>
      <c r="AM249" s="1">
        <v>701</v>
      </c>
      <c r="AN249" s="1">
        <v>0</v>
      </c>
      <c r="AO249" s="1">
        <v>854</v>
      </c>
      <c r="AP249" s="1">
        <v>0</v>
      </c>
      <c r="AQ249" s="1">
        <v>321</v>
      </c>
      <c r="AR249" s="1">
        <v>0</v>
      </c>
      <c r="AS249" s="1">
        <v>618</v>
      </c>
      <c r="AT249" s="1">
        <v>0</v>
      </c>
      <c r="AU249" s="1">
        <v>1643</v>
      </c>
      <c r="AV249" s="1">
        <v>0</v>
      </c>
      <c r="AW249" s="1">
        <v>447</v>
      </c>
      <c r="AX249" s="1">
        <v>0</v>
      </c>
      <c r="AY249" s="1">
        <v>1011</v>
      </c>
      <c r="AZ249" s="1">
        <v>0</v>
      </c>
      <c r="BA249" s="1">
        <v>0</v>
      </c>
    </row>
    <row r="250" spans="1:103">
      <c r="A250" s="19">
        <v>65003</v>
      </c>
      <c r="B250" s="1">
        <v>2024</v>
      </c>
      <c r="C250" s="1">
        <v>12127</v>
      </c>
      <c r="D250" s="1">
        <v>0</v>
      </c>
      <c r="E250" s="1">
        <v>0</v>
      </c>
      <c r="F250" s="1">
        <v>201</v>
      </c>
      <c r="G250" s="1">
        <v>0</v>
      </c>
      <c r="H250" s="1">
        <v>580</v>
      </c>
      <c r="I250" s="1">
        <v>219</v>
      </c>
      <c r="J250" s="1">
        <v>142</v>
      </c>
      <c r="K250" s="1">
        <v>581</v>
      </c>
      <c r="L250" s="1">
        <v>0</v>
      </c>
      <c r="M250" s="1">
        <v>0</v>
      </c>
      <c r="N250" s="1">
        <v>63</v>
      </c>
      <c r="O250" s="1">
        <v>221</v>
      </c>
      <c r="P250" s="1">
        <v>166</v>
      </c>
      <c r="Q250" s="1">
        <v>0</v>
      </c>
      <c r="R250" s="1">
        <v>92</v>
      </c>
      <c r="S250" s="1">
        <v>134</v>
      </c>
      <c r="T250" s="1">
        <v>0</v>
      </c>
      <c r="U250" s="1">
        <v>102</v>
      </c>
      <c r="V250" s="1">
        <v>0</v>
      </c>
      <c r="W250" s="1">
        <v>71</v>
      </c>
      <c r="X250" s="1">
        <v>13</v>
      </c>
      <c r="Y250" s="1">
        <v>96</v>
      </c>
      <c r="Z250" s="1">
        <v>0</v>
      </c>
      <c r="AA250" s="1">
        <v>420</v>
      </c>
      <c r="AB250" s="1">
        <v>0</v>
      </c>
      <c r="AC250" s="1">
        <v>0</v>
      </c>
      <c r="AD250" s="1">
        <v>92</v>
      </c>
      <c r="AE250" s="1">
        <v>330</v>
      </c>
      <c r="AF250" s="1">
        <v>0</v>
      </c>
      <c r="AG250" s="1">
        <v>308</v>
      </c>
      <c r="AH250" s="1">
        <v>0</v>
      </c>
      <c r="AI250" s="1">
        <v>0</v>
      </c>
      <c r="AJ250" s="1">
        <v>2</v>
      </c>
      <c r="AK250" s="1">
        <v>1369</v>
      </c>
      <c r="AL250" s="1">
        <v>0</v>
      </c>
      <c r="AM250" s="1">
        <v>1164</v>
      </c>
      <c r="AN250" s="1">
        <v>0</v>
      </c>
      <c r="AO250" s="1">
        <v>2321</v>
      </c>
      <c r="AP250" s="1">
        <v>0</v>
      </c>
      <c r="AQ250" s="1">
        <v>540</v>
      </c>
      <c r="AR250" s="1">
        <v>0</v>
      </c>
      <c r="AS250" s="1">
        <v>661</v>
      </c>
      <c r="AT250" s="1">
        <v>0</v>
      </c>
      <c r="AU250" s="1">
        <v>1076</v>
      </c>
      <c r="AV250" s="1">
        <v>0</v>
      </c>
      <c r="AW250" s="1">
        <v>78</v>
      </c>
      <c r="AX250" s="1">
        <v>0</v>
      </c>
      <c r="AY250" s="1">
        <v>1085</v>
      </c>
      <c r="AZ250" s="1">
        <v>0</v>
      </c>
      <c r="BA250" s="1">
        <v>0</v>
      </c>
    </row>
    <row r="251" spans="1:103">
      <c r="A251" s="19">
        <v>65004</v>
      </c>
      <c r="B251" s="1">
        <v>2024</v>
      </c>
      <c r="C251" s="1">
        <v>15987</v>
      </c>
      <c r="D251" s="1">
        <v>0</v>
      </c>
      <c r="E251" s="1">
        <v>0</v>
      </c>
      <c r="F251" s="1">
        <v>117</v>
      </c>
      <c r="G251" s="1">
        <v>96</v>
      </c>
      <c r="H251" s="1">
        <v>389</v>
      </c>
      <c r="I251" s="1">
        <v>861</v>
      </c>
      <c r="J251" s="1">
        <v>196</v>
      </c>
      <c r="K251" s="1">
        <v>95</v>
      </c>
      <c r="L251" s="1">
        <v>0</v>
      </c>
      <c r="M251" s="1">
        <v>6</v>
      </c>
      <c r="N251" s="1">
        <v>0</v>
      </c>
      <c r="O251" s="1">
        <v>0</v>
      </c>
      <c r="P251" s="1">
        <v>0</v>
      </c>
      <c r="Q251" s="1">
        <v>10</v>
      </c>
      <c r="R251" s="1">
        <v>0</v>
      </c>
      <c r="S251" s="1">
        <v>0</v>
      </c>
      <c r="T251" s="1">
        <v>0</v>
      </c>
      <c r="U251" s="1">
        <v>414</v>
      </c>
      <c r="V251" s="1">
        <v>0</v>
      </c>
      <c r="W251" s="1">
        <v>890</v>
      </c>
      <c r="X251" s="1">
        <v>0</v>
      </c>
      <c r="Y251" s="1">
        <v>1590</v>
      </c>
      <c r="Z251" s="1">
        <v>0</v>
      </c>
      <c r="AA251" s="1">
        <v>865</v>
      </c>
      <c r="AB251" s="1">
        <v>0</v>
      </c>
      <c r="AC251" s="1">
        <v>477</v>
      </c>
      <c r="AD251" s="1">
        <v>0</v>
      </c>
      <c r="AE251" s="1">
        <v>460</v>
      </c>
      <c r="AF251" s="1">
        <v>0</v>
      </c>
      <c r="AG251" s="1">
        <v>719</v>
      </c>
      <c r="AH251" s="1">
        <v>0</v>
      </c>
      <c r="AI251" s="1">
        <v>283</v>
      </c>
      <c r="AJ251" s="1">
        <v>0</v>
      </c>
      <c r="AK251" s="1">
        <v>0</v>
      </c>
      <c r="AL251" s="1">
        <v>0</v>
      </c>
      <c r="AM251" s="1">
        <v>821</v>
      </c>
      <c r="AN251" s="1">
        <v>0</v>
      </c>
      <c r="AO251" s="1">
        <v>1244</v>
      </c>
      <c r="AP251" s="1">
        <v>0</v>
      </c>
      <c r="AQ251" s="1">
        <v>220</v>
      </c>
      <c r="AR251" s="1">
        <v>0</v>
      </c>
      <c r="AS251" s="1">
        <v>422</v>
      </c>
      <c r="AT251" s="1">
        <v>0</v>
      </c>
      <c r="AU251" s="1">
        <v>3157</v>
      </c>
      <c r="AV251" s="1">
        <v>0</v>
      </c>
      <c r="AW251" s="1">
        <v>1568</v>
      </c>
      <c r="AX251" s="1">
        <v>0</v>
      </c>
      <c r="AY251" s="1">
        <v>1087</v>
      </c>
      <c r="AZ251" s="1">
        <v>0</v>
      </c>
      <c r="BA251" s="1">
        <v>0</v>
      </c>
    </row>
    <row r="252" spans="1:103">
      <c r="A252" s="19">
        <v>66001</v>
      </c>
      <c r="B252" s="1">
        <v>2024</v>
      </c>
      <c r="C252" s="1">
        <v>27913</v>
      </c>
      <c r="D252" s="1">
        <v>0</v>
      </c>
      <c r="E252" s="1">
        <v>0</v>
      </c>
      <c r="F252" s="1">
        <v>247</v>
      </c>
      <c r="G252" s="1">
        <v>4</v>
      </c>
      <c r="H252" s="1">
        <v>1643</v>
      </c>
      <c r="I252" s="1">
        <v>855</v>
      </c>
      <c r="J252" s="1">
        <v>523</v>
      </c>
      <c r="K252" s="1">
        <v>117</v>
      </c>
      <c r="L252" s="1">
        <v>42</v>
      </c>
      <c r="M252" s="1">
        <v>380</v>
      </c>
      <c r="N252" s="1">
        <v>229</v>
      </c>
      <c r="O252" s="1">
        <v>1234</v>
      </c>
      <c r="P252" s="1">
        <v>171</v>
      </c>
      <c r="Q252" s="1">
        <v>331</v>
      </c>
      <c r="R252" s="1">
        <v>24</v>
      </c>
      <c r="S252" s="1">
        <v>643</v>
      </c>
      <c r="T252" s="1">
        <v>91</v>
      </c>
      <c r="U252" s="1">
        <v>1780</v>
      </c>
      <c r="V252" s="1">
        <v>343</v>
      </c>
      <c r="W252" s="1">
        <v>1976</v>
      </c>
      <c r="X252" s="1">
        <v>92</v>
      </c>
      <c r="Y252" s="1">
        <v>580</v>
      </c>
      <c r="Z252" s="1">
        <v>0</v>
      </c>
      <c r="AA252" s="1">
        <v>4</v>
      </c>
      <c r="AB252" s="1">
        <v>0</v>
      </c>
      <c r="AC252" s="1">
        <v>65</v>
      </c>
      <c r="AD252" s="1">
        <v>0</v>
      </c>
      <c r="AE252" s="1">
        <v>866</v>
      </c>
      <c r="AF252" s="1">
        <v>70</v>
      </c>
      <c r="AG252" s="1">
        <v>848</v>
      </c>
      <c r="AH252" s="1">
        <v>0</v>
      </c>
      <c r="AI252" s="1">
        <v>6</v>
      </c>
      <c r="AJ252" s="1">
        <v>0</v>
      </c>
      <c r="AK252" s="1">
        <v>651</v>
      </c>
      <c r="AL252" s="1">
        <v>0</v>
      </c>
      <c r="AM252" s="1">
        <v>1064</v>
      </c>
      <c r="AN252" s="1">
        <v>0</v>
      </c>
      <c r="AO252" s="1">
        <v>154</v>
      </c>
      <c r="AP252" s="1">
        <v>0</v>
      </c>
      <c r="AQ252" s="1">
        <v>2847</v>
      </c>
      <c r="AR252" s="1">
        <v>0</v>
      </c>
      <c r="AS252" s="1">
        <v>3217</v>
      </c>
      <c r="AT252" s="1">
        <v>0</v>
      </c>
      <c r="AU252" s="1">
        <v>4143</v>
      </c>
      <c r="AV252" s="1">
        <v>0</v>
      </c>
      <c r="AW252" s="1">
        <v>832</v>
      </c>
      <c r="AX252" s="1">
        <v>0</v>
      </c>
      <c r="AY252" s="1">
        <v>1841</v>
      </c>
      <c r="AZ252" s="1">
        <v>0</v>
      </c>
      <c r="BA252" s="1">
        <v>0</v>
      </c>
    </row>
    <row r="253" spans="1:103">
      <c r="A253" s="19">
        <v>66002</v>
      </c>
      <c r="B253" s="1">
        <v>2024</v>
      </c>
      <c r="C253" s="1">
        <v>27846</v>
      </c>
      <c r="D253" s="1">
        <v>0</v>
      </c>
      <c r="E253" s="1">
        <v>0</v>
      </c>
      <c r="F253" s="1">
        <v>35</v>
      </c>
      <c r="G253" s="1">
        <v>262</v>
      </c>
      <c r="H253" s="1">
        <v>1650</v>
      </c>
      <c r="I253" s="1">
        <v>1557</v>
      </c>
      <c r="J253" s="1">
        <v>713</v>
      </c>
      <c r="K253" s="1">
        <v>724</v>
      </c>
      <c r="L253" s="1">
        <v>0</v>
      </c>
      <c r="M253" s="1">
        <v>0</v>
      </c>
      <c r="N253" s="1">
        <v>0</v>
      </c>
      <c r="O253" s="1">
        <v>490</v>
      </c>
      <c r="P253" s="1">
        <v>0</v>
      </c>
      <c r="Q253" s="1">
        <v>349</v>
      </c>
      <c r="R253" s="1">
        <v>0</v>
      </c>
      <c r="S253" s="1">
        <v>415</v>
      </c>
      <c r="T253" s="1">
        <v>0</v>
      </c>
      <c r="U253" s="1">
        <v>513</v>
      </c>
      <c r="V253" s="1">
        <v>112</v>
      </c>
      <c r="W253" s="1">
        <v>2149</v>
      </c>
      <c r="X253" s="1">
        <v>0</v>
      </c>
      <c r="Y253" s="1">
        <v>256</v>
      </c>
      <c r="Z253" s="1">
        <v>10</v>
      </c>
      <c r="AA253" s="1">
        <v>893</v>
      </c>
      <c r="AB253" s="1">
        <v>5</v>
      </c>
      <c r="AC253" s="1">
        <v>15</v>
      </c>
      <c r="AD253" s="1">
        <v>0</v>
      </c>
      <c r="AE253" s="1">
        <v>2250</v>
      </c>
      <c r="AF253" s="1">
        <v>0</v>
      </c>
      <c r="AG253" s="1">
        <v>505</v>
      </c>
      <c r="AH253" s="1">
        <v>0</v>
      </c>
      <c r="AI253" s="1">
        <v>108</v>
      </c>
      <c r="AJ253" s="1">
        <v>0</v>
      </c>
      <c r="AK253" s="1">
        <v>1005</v>
      </c>
      <c r="AL253" s="1">
        <v>0</v>
      </c>
      <c r="AM253" s="1">
        <v>185</v>
      </c>
      <c r="AN253" s="1">
        <v>0</v>
      </c>
      <c r="AO253" s="1">
        <v>991</v>
      </c>
      <c r="AP253" s="1">
        <v>0</v>
      </c>
      <c r="AQ253" s="1">
        <v>380</v>
      </c>
      <c r="AR253" s="1">
        <v>0</v>
      </c>
      <c r="AS253" s="1">
        <v>3126</v>
      </c>
      <c r="AT253" s="1">
        <v>0</v>
      </c>
      <c r="AU253" s="1">
        <v>3044</v>
      </c>
      <c r="AV253" s="1">
        <v>0</v>
      </c>
      <c r="AW253" s="1">
        <v>1953</v>
      </c>
      <c r="AX253" s="1">
        <v>0</v>
      </c>
      <c r="AY253" s="1">
        <v>2716</v>
      </c>
      <c r="AZ253" s="1">
        <v>0</v>
      </c>
      <c r="BA253" s="1">
        <v>1435</v>
      </c>
    </row>
    <row r="254" spans="1:103">
      <c r="A254" s="19">
        <v>67001</v>
      </c>
      <c r="B254" s="1">
        <v>2024</v>
      </c>
      <c r="C254" s="1">
        <v>15883</v>
      </c>
      <c r="D254" s="1">
        <v>0</v>
      </c>
      <c r="E254" s="1">
        <v>0</v>
      </c>
      <c r="F254" s="1">
        <v>160</v>
      </c>
      <c r="G254" s="1">
        <v>72</v>
      </c>
      <c r="H254" s="1">
        <v>83</v>
      </c>
      <c r="I254" s="1">
        <v>895</v>
      </c>
      <c r="J254" s="1">
        <v>750</v>
      </c>
      <c r="K254" s="1">
        <v>72</v>
      </c>
      <c r="L254" s="1">
        <v>97</v>
      </c>
      <c r="M254" s="1">
        <v>0</v>
      </c>
      <c r="N254" s="1">
        <v>30</v>
      </c>
      <c r="O254" s="1">
        <v>157</v>
      </c>
      <c r="P254" s="1">
        <v>65</v>
      </c>
      <c r="Q254" s="1">
        <v>259</v>
      </c>
      <c r="R254" s="1">
        <v>0</v>
      </c>
      <c r="S254" s="1">
        <v>519</v>
      </c>
      <c r="T254" s="1">
        <v>0</v>
      </c>
      <c r="U254" s="1">
        <v>18</v>
      </c>
      <c r="V254" s="1">
        <v>92</v>
      </c>
      <c r="W254" s="1">
        <v>439</v>
      </c>
      <c r="X254" s="1">
        <v>51</v>
      </c>
      <c r="Y254" s="1">
        <v>948</v>
      </c>
      <c r="Z254" s="1">
        <v>0</v>
      </c>
      <c r="AA254" s="1">
        <v>431</v>
      </c>
      <c r="AB254" s="1">
        <v>31</v>
      </c>
      <c r="AC254" s="1">
        <v>0</v>
      </c>
      <c r="AD254" s="1">
        <v>86</v>
      </c>
      <c r="AE254" s="1">
        <v>224</v>
      </c>
      <c r="AF254" s="1">
        <v>53</v>
      </c>
      <c r="AG254" s="1">
        <v>476</v>
      </c>
      <c r="AH254" s="1">
        <v>0</v>
      </c>
      <c r="AI254" s="1">
        <v>150</v>
      </c>
      <c r="AJ254" s="1">
        <v>0</v>
      </c>
      <c r="AK254" s="1">
        <v>156</v>
      </c>
      <c r="AL254" s="1">
        <v>0</v>
      </c>
      <c r="AM254" s="1">
        <v>1091</v>
      </c>
      <c r="AN254" s="1">
        <v>0</v>
      </c>
      <c r="AO254" s="1">
        <v>568</v>
      </c>
      <c r="AP254" s="1">
        <v>0</v>
      </c>
      <c r="AQ254" s="1">
        <v>115</v>
      </c>
      <c r="AR254" s="1">
        <v>0</v>
      </c>
      <c r="AS254" s="1">
        <v>1559</v>
      </c>
      <c r="AT254" s="1">
        <v>0</v>
      </c>
      <c r="AU254" s="1">
        <v>3270</v>
      </c>
      <c r="AV254" s="1">
        <v>0</v>
      </c>
      <c r="AW254" s="1">
        <v>1609</v>
      </c>
      <c r="AX254" s="1">
        <v>0</v>
      </c>
      <c r="AY254" s="1">
        <v>1314</v>
      </c>
      <c r="AZ254" s="1">
        <v>0</v>
      </c>
      <c r="BA254" s="1">
        <v>43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</row>
    <row r="255" spans="1:103">
      <c r="A255" s="19">
        <v>67002</v>
      </c>
      <c r="B255" s="1">
        <v>2024</v>
      </c>
      <c r="C255" s="1">
        <v>13691</v>
      </c>
      <c r="D255" s="1">
        <v>0</v>
      </c>
      <c r="E255" s="1">
        <v>0</v>
      </c>
      <c r="F255" s="1">
        <v>92</v>
      </c>
      <c r="G255" s="1">
        <v>0</v>
      </c>
      <c r="H255" s="1">
        <v>20</v>
      </c>
      <c r="I255" s="1">
        <v>0</v>
      </c>
      <c r="J255" s="1">
        <v>291</v>
      </c>
      <c r="K255" s="1">
        <v>319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330</v>
      </c>
      <c r="V255" s="1">
        <v>0</v>
      </c>
      <c r="W255" s="1">
        <v>596</v>
      </c>
      <c r="X255" s="1">
        <v>0</v>
      </c>
      <c r="Y255" s="1">
        <v>123</v>
      </c>
      <c r="Z255" s="1">
        <v>0</v>
      </c>
      <c r="AA255" s="1">
        <v>0</v>
      </c>
      <c r="AB255" s="1">
        <v>0</v>
      </c>
      <c r="AC255" s="1">
        <v>196</v>
      </c>
      <c r="AD255" s="1">
        <v>0</v>
      </c>
      <c r="AE255" s="1">
        <v>590</v>
      </c>
      <c r="AF255" s="1">
        <v>0</v>
      </c>
      <c r="AG255" s="1">
        <v>0</v>
      </c>
      <c r="AH255" s="1">
        <v>0</v>
      </c>
      <c r="AI255" s="1">
        <v>371</v>
      </c>
      <c r="AJ255" s="1">
        <v>0</v>
      </c>
      <c r="AK255" s="1">
        <v>8</v>
      </c>
      <c r="AL255" s="1">
        <v>0</v>
      </c>
      <c r="AM255" s="1">
        <v>1295</v>
      </c>
      <c r="AN255" s="1">
        <v>0</v>
      </c>
      <c r="AO255" s="1">
        <v>2373</v>
      </c>
      <c r="AP255" s="1">
        <v>0</v>
      </c>
      <c r="AQ255" s="1">
        <v>561</v>
      </c>
      <c r="AR255" s="1">
        <v>0</v>
      </c>
      <c r="AS255" s="1">
        <v>3173</v>
      </c>
      <c r="AT255" s="1">
        <v>0</v>
      </c>
      <c r="AU255" s="1">
        <v>516</v>
      </c>
      <c r="AV255" s="1">
        <v>0</v>
      </c>
      <c r="AW255" s="1">
        <v>1287</v>
      </c>
      <c r="AX255" s="1">
        <v>0</v>
      </c>
      <c r="AY255" s="1">
        <v>1550</v>
      </c>
      <c r="AZ255" s="1">
        <v>0</v>
      </c>
      <c r="BA255" s="1">
        <v>0</v>
      </c>
    </row>
    <row r="256" spans="1:103">
      <c r="A256" s="19">
        <v>68001</v>
      </c>
      <c r="B256" s="1">
        <v>2024</v>
      </c>
      <c r="C256" s="1">
        <v>10847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136</v>
      </c>
      <c r="R256" s="1">
        <v>0</v>
      </c>
      <c r="S256" s="1">
        <v>0</v>
      </c>
      <c r="T256" s="1">
        <v>0</v>
      </c>
      <c r="U256" s="1">
        <v>394</v>
      </c>
      <c r="V256" s="1">
        <v>0</v>
      </c>
      <c r="W256" s="1">
        <v>322</v>
      </c>
      <c r="X256" s="1">
        <v>0</v>
      </c>
      <c r="Y256" s="1">
        <v>337</v>
      </c>
      <c r="Z256" s="1">
        <v>92</v>
      </c>
      <c r="AA256" s="1">
        <v>0</v>
      </c>
      <c r="AB256" s="1">
        <v>0</v>
      </c>
      <c r="AC256" s="1">
        <v>400</v>
      </c>
      <c r="AD256" s="1">
        <v>0</v>
      </c>
      <c r="AE256" s="1">
        <v>254</v>
      </c>
      <c r="AF256" s="1">
        <v>10</v>
      </c>
      <c r="AG256" s="1">
        <v>435</v>
      </c>
      <c r="AH256" s="1">
        <v>0</v>
      </c>
      <c r="AI256" s="1">
        <v>603</v>
      </c>
      <c r="AJ256" s="1">
        <v>3</v>
      </c>
      <c r="AK256" s="1">
        <v>652</v>
      </c>
      <c r="AL256" s="1">
        <v>0</v>
      </c>
      <c r="AM256" s="1">
        <v>183</v>
      </c>
      <c r="AN256" s="1">
        <v>0</v>
      </c>
      <c r="AO256" s="1">
        <v>764</v>
      </c>
      <c r="AP256" s="1">
        <v>0</v>
      </c>
      <c r="AQ256" s="1">
        <v>507</v>
      </c>
      <c r="AR256" s="1">
        <v>0</v>
      </c>
      <c r="AS256" s="1">
        <v>1036</v>
      </c>
      <c r="AT256" s="1">
        <v>0</v>
      </c>
      <c r="AU256" s="1">
        <v>1895</v>
      </c>
      <c r="AV256" s="1">
        <v>0</v>
      </c>
      <c r="AW256" s="1">
        <v>1225</v>
      </c>
      <c r="AX256" s="1">
        <v>0</v>
      </c>
      <c r="AY256" s="1">
        <v>1556</v>
      </c>
      <c r="AZ256" s="1">
        <v>0</v>
      </c>
      <c r="BA256" s="1">
        <v>43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</row>
    <row r="257" spans="1:53">
      <c r="A257" s="19">
        <v>68002</v>
      </c>
      <c r="B257" s="1">
        <v>2024</v>
      </c>
      <c r="C257" s="1">
        <v>12570</v>
      </c>
      <c r="D257" s="1">
        <v>0</v>
      </c>
      <c r="E257" s="1">
        <v>0</v>
      </c>
      <c r="F257" s="1">
        <v>0</v>
      </c>
      <c r="G257" s="1">
        <v>0</v>
      </c>
      <c r="H257" s="1">
        <v>88</v>
      </c>
      <c r="I257" s="1">
        <v>0</v>
      </c>
      <c r="J257" s="1">
        <v>46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54</v>
      </c>
      <c r="S257" s="1">
        <v>40</v>
      </c>
      <c r="T257" s="1">
        <v>0</v>
      </c>
      <c r="U257" s="1">
        <v>92</v>
      </c>
      <c r="V257" s="1">
        <v>92</v>
      </c>
      <c r="W257" s="1">
        <v>651</v>
      </c>
      <c r="X257" s="1">
        <v>0</v>
      </c>
      <c r="Y257" s="1">
        <v>259</v>
      </c>
      <c r="Z257" s="1">
        <v>0</v>
      </c>
      <c r="AA257" s="1">
        <v>155</v>
      </c>
      <c r="AB257" s="1">
        <v>0</v>
      </c>
      <c r="AC257" s="1">
        <v>57</v>
      </c>
      <c r="AD257" s="1">
        <v>0</v>
      </c>
      <c r="AE257" s="1">
        <v>266</v>
      </c>
      <c r="AF257" s="1">
        <v>0</v>
      </c>
      <c r="AG257" s="1">
        <v>0</v>
      </c>
      <c r="AH257" s="1">
        <v>0</v>
      </c>
      <c r="AI257" s="1">
        <v>134</v>
      </c>
      <c r="AJ257" s="1">
        <v>0</v>
      </c>
      <c r="AK257" s="1">
        <v>450</v>
      </c>
      <c r="AL257" s="1">
        <v>0</v>
      </c>
      <c r="AM257" s="1">
        <v>915</v>
      </c>
      <c r="AN257" s="1">
        <v>0</v>
      </c>
      <c r="AO257" s="1">
        <v>1606</v>
      </c>
      <c r="AP257" s="1">
        <v>0</v>
      </c>
      <c r="AQ257" s="1">
        <v>718</v>
      </c>
      <c r="AR257" s="1">
        <v>0</v>
      </c>
      <c r="AS257" s="1">
        <v>2245</v>
      </c>
      <c r="AT257" s="1">
        <v>0</v>
      </c>
      <c r="AU257" s="1">
        <v>1222</v>
      </c>
      <c r="AV257" s="1">
        <v>0</v>
      </c>
      <c r="AW257" s="1">
        <v>969</v>
      </c>
      <c r="AX257" s="1">
        <v>0</v>
      </c>
      <c r="AY257" s="1">
        <v>2437</v>
      </c>
      <c r="AZ257" s="1">
        <v>0</v>
      </c>
      <c r="BA257" s="1">
        <v>74</v>
      </c>
    </row>
    <row r="258" spans="1:53">
      <c r="A258" s="19">
        <v>68003</v>
      </c>
      <c r="B258" s="1">
        <v>2024</v>
      </c>
      <c r="C258" s="1">
        <v>16399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31</v>
      </c>
      <c r="J258" s="1">
        <v>28</v>
      </c>
      <c r="K258" s="1">
        <v>0</v>
      </c>
      <c r="L258" s="1">
        <v>56</v>
      </c>
      <c r="M258" s="1">
        <v>61</v>
      </c>
      <c r="N258" s="1">
        <v>26</v>
      </c>
      <c r="O258" s="1">
        <v>69</v>
      </c>
      <c r="P258" s="1">
        <v>218</v>
      </c>
      <c r="Q258" s="1">
        <v>65</v>
      </c>
      <c r="R258" s="1">
        <v>0</v>
      </c>
      <c r="S258" s="1">
        <v>274</v>
      </c>
      <c r="T258" s="1">
        <v>0</v>
      </c>
      <c r="U258" s="1">
        <v>18</v>
      </c>
      <c r="V258" s="1">
        <v>0</v>
      </c>
      <c r="W258" s="1">
        <v>520</v>
      </c>
      <c r="X258" s="1">
        <v>0</v>
      </c>
      <c r="Y258" s="1">
        <v>753</v>
      </c>
      <c r="Z258" s="1">
        <v>0</v>
      </c>
      <c r="AA258" s="1">
        <v>115</v>
      </c>
      <c r="AB258" s="1">
        <v>0</v>
      </c>
      <c r="AC258" s="1">
        <v>0</v>
      </c>
      <c r="AD258" s="1">
        <v>9</v>
      </c>
      <c r="AE258" s="1">
        <v>219</v>
      </c>
      <c r="AF258" s="1">
        <v>0</v>
      </c>
      <c r="AG258" s="1">
        <v>227</v>
      </c>
      <c r="AH258" s="1">
        <v>0</v>
      </c>
      <c r="AI258" s="1">
        <v>516</v>
      </c>
      <c r="AJ258" s="1">
        <v>0</v>
      </c>
      <c r="AK258" s="1">
        <v>767</v>
      </c>
      <c r="AL258" s="1">
        <v>61</v>
      </c>
      <c r="AM258" s="1">
        <v>2685</v>
      </c>
      <c r="AN258" s="1">
        <v>0</v>
      </c>
      <c r="AO258" s="1">
        <v>1288</v>
      </c>
      <c r="AP258" s="1">
        <v>0</v>
      </c>
      <c r="AQ258" s="1">
        <v>400</v>
      </c>
      <c r="AR258" s="1">
        <v>0</v>
      </c>
      <c r="AS258" s="1">
        <v>1732</v>
      </c>
      <c r="AT258" s="1">
        <v>0</v>
      </c>
      <c r="AU258" s="1">
        <v>3996</v>
      </c>
      <c r="AV258" s="1">
        <v>0</v>
      </c>
      <c r="AW258" s="1">
        <v>815</v>
      </c>
      <c r="AX258" s="1">
        <v>0</v>
      </c>
      <c r="AY258" s="1">
        <v>1450</v>
      </c>
      <c r="AZ258" s="1">
        <v>0</v>
      </c>
      <c r="BA258" s="1">
        <v>0</v>
      </c>
    </row>
    <row r="259" spans="1:53">
      <c r="A259" s="19">
        <v>69001</v>
      </c>
      <c r="B259" s="1">
        <v>2024</v>
      </c>
      <c r="C259" s="1">
        <v>22521</v>
      </c>
      <c r="D259" s="1">
        <v>0</v>
      </c>
      <c r="E259" s="1">
        <v>0</v>
      </c>
      <c r="F259" s="1">
        <v>58</v>
      </c>
      <c r="G259" s="1">
        <v>22</v>
      </c>
      <c r="H259" s="1">
        <v>623</v>
      </c>
      <c r="I259" s="1">
        <v>1841</v>
      </c>
      <c r="J259" s="1">
        <v>769</v>
      </c>
      <c r="K259" s="1">
        <v>435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518</v>
      </c>
      <c r="R259" s="1">
        <v>0</v>
      </c>
      <c r="S259" s="1">
        <v>92</v>
      </c>
      <c r="T259" s="1">
        <v>0</v>
      </c>
      <c r="U259" s="1">
        <v>415</v>
      </c>
      <c r="V259" s="1">
        <v>0</v>
      </c>
      <c r="W259" s="1">
        <v>498</v>
      </c>
      <c r="X259" s="1">
        <v>0</v>
      </c>
      <c r="Y259" s="1">
        <v>673</v>
      </c>
      <c r="Z259" s="1">
        <v>0</v>
      </c>
      <c r="AA259" s="1">
        <v>243</v>
      </c>
      <c r="AB259" s="1">
        <v>0</v>
      </c>
      <c r="AC259" s="1">
        <v>49</v>
      </c>
      <c r="AD259" s="1">
        <v>0</v>
      </c>
      <c r="AE259" s="1">
        <v>431</v>
      </c>
      <c r="AF259" s="1">
        <v>0</v>
      </c>
      <c r="AG259" s="1">
        <v>944</v>
      </c>
      <c r="AH259" s="1">
        <v>0</v>
      </c>
      <c r="AI259" s="1">
        <v>120</v>
      </c>
      <c r="AJ259" s="1">
        <v>0</v>
      </c>
      <c r="AK259" s="1">
        <v>377</v>
      </c>
      <c r="AL259" s="1">
        <v>0</v>
      </c>
      <c r="AM259" s="1">
        <v>1576</v>
      </c>
      <c r="AN259" s="1">
        <v>0</v>
      </c>
      <c r="AO259" s="1">
        <v>1106</v>
      </c>
      <c r="AP259" s="1">
        <v>0</v>
      </c>
      <c r="AQ259" s="1">
        <v>592</v>
      </c>
      <c r="AR259" s="1">
        <v>0</v>
      </c>
      <c r="AS259" s="1">
        <v>1636</v>
      </c>
      <c r="AT259" s="1">
        <v>0</v>
      </c>
      <c r="AU259" s="1">
        <v>3913</v>
      </c>
      <c r="AV259" s="1">
        <v>0</v>
      </c>
      <c r="AW259" s="1">
        <v>3037</v>
      </c>
      <c r="AX259" s="1">
        <v>0</v>
      </c>
      <c r="AY259" s="1">
        <v>2553</v>
      </c>
      <c r="AZ259" s="1">
        <v>0</v>
      </c>
      <c r="BA259" s="1">
        <v>0</v>
      </c>
    </row>
    <row r="260" spans="1:53">
      <c r="A260" s="19">
        <v>69002</v>
      </c>
      <c r="B260" s="1">
        <v>2024</v>
      </c>
      <c r="C260" s="1">
        <v>40189</v>
      </c>
      <c r="D260" s="1">
        <v>0</v>
      </c>
      <c r="E260" s="1">
        <v>38</v>
      </c>
      <c r="F260" s="1">
        <v>191</v>
      </c>
      <c r="G260" s="1">
        <v>162</v>
      </c>
      <c r="H260" s="1">
        <v>1365</v>
      </c>
      <c r="I260" s="1">
        <v>2138</v>
      </c>
      <c r="J260" s="1">
        <v>2011</v>
      </c>
      <c r="K260" s="1">
        <v>1441</v>
      </c>
      <c r="L260" s="1">
        <v>0</v>
      </c>
      <c r="M260" s="1">
        <v>216</v>
      </c>
      <c r="N260" s="1">
        <v>40</v>
      </c>
      <c r="O260" s="1">
        <v>465</v>
      </c>
      <c r="P260" s="1">
        <v>87</v>
      </c>
      <c r="Q260" s="1">
        <v>181</v>
      </c>
      <c r="R260" s="1">
        <v>0</v>
      </c>
      <c r="S260" s="1">
        <v>463</v>
      </c>
      <c r="T260" s="1">
        <v>0</v>
      </c>
      <c r="U260" s="1">
        <v>55</v>
      </c>
      <c r="V260" s="1">
        <v>8</v>
      </c>
      <c r="W260" s="1">
        <v>870</v>
      </c>
      <c r="X260" s="1">
        <v>24</v>
      </c>
      <c r="Y260" s="1">
        <v>1153</v>
      </c>
      <c r="Z260" s="1">
        <v>60</v>
      </c>
      <c r="AA260" s="1">
        <v>768</v>
      </c>
      <c r="AB260" s="1">
        <v>58</v>
      </c>
      <c r="AC260" s="1">
        <v>0</v>
      </c>
      <c r="AD260" s="1">
        <v>212</v>
      </c>
      <c r="AE260" s="1">
        <v>364</v>
      </c>
      <c r="AF260" s="1">
        <v>90</v>
      </c>
      <c r="AG260" s="1">
        <v>1100</v>
      </c>
      <c r="AH260" s="1">
        <v>325</v>
      </c>
      <c r="AI260" s="1">
        <v>777</v>
      </c>
      <c r="AJ260" s="1">
        <v>349</v>
      </c>
      <c r="AK260" s="1">
        <v>1921</v>
      </c>
      <c r="AL260" s="1">
        <v>0</v>
      </c>
      <c r="AM260" s="1">
        <v>2497</v>
      </c>
      <c r="AN260" s="1">
        <v>0</v>
      </c>
      <c r="AO260" s="1">
        <v>3300</v>
      </c>
      <c r="AP260" s="1">
        <v>0</v>
      </c>
      <c r="AQ260" s="1">
        <v>411</v>
      </c>
      <c r="AR260" s="1">
        <v>0</v>
      </c>
      <c r="AS260" s="1">
        <v>3474</v>
      </c>
      <c r="AT260" s="1">
        <v>0</v>
      </c>
      <c r="AU260" s="1">
        <v>4982</v>
      </c>
      <c r="AV260" s="1">
        <v>0</v>
      </c>
      <c r="AW260" s="1">
        <v>2522</v>
      </c>
      <c r="AX260" s="1">
        <v>0</v>
      </c>
      <c r="AY260" s="1">
        <v>5169</v>
      </c>
      <c r="AZ260" s="1">
        <v>0</v>
      </c>
      <c r="BA260" s="1">
        <v>902</v>
      </c>
    </row>
    <row r="261" spans="1:53">
      <c r="A261" s="19">
        <v>69003</v>
      </c>
      <c r="B261" s="1">
        <v>2024</v>
      </c>
      <c r="C261" s="1">
        <v>19755</v>
      </c>
      <c r="D261" s="1">
        <v>0</v>
      </c>
      <c r="E261" s="1">
        <v>0</v>
      </c>
      <c r="F261" s="1">
        <v>51</v>
      </c>
      <c r="G261" s="1">
        <v>0</v>
      </c>
      <c r="H261" s="1">
        <v>435</v>
      </c>
      <c r="I261" s="1">
        <v>3120</v>
      </c>
      <c r="J261" s="1">
        <v>1081</v>
      </c>
      <c r="K261" s="1">
        <v>332</v>
      </c>
      <c r="L261" s="1">
        <v>0</v>
      </c>
      <c r="M261" s="1">
        <v>0</v>
      </c>
      <c r="N261" s="1">
        <v>0</v>
      </c>
      <c r="O261" s="1">
        <v>26</v>
      </c>
      <c r="P261" s="1">
        <v>101</v>
      </c>
      <c r="Q261" s="1">
        <v>257</v>
      </c>
      <c r="R261" s="1">
        <v>0</v>
      </c>
      <c r="S261" s="1">
        <v>63</v>
      </c>
      <c r="T261" s="1">
        <v>0</v>
      </c>
      <c r="U261" s="1">
        <v>79</v>
      </c>
      <c r="V261" s="1">
        <v>71</v>
      </c>
      <c r="W261" s="1">
        <v>331</v>
      </c>
      <c r="X261" s="1">
        <v>77</v>
      </c>
      <c r="Y261" s="1">
        <v>2508</v>
      </c>
      <c r="Z261" s="1">
        <v>0</v>
      </c>
      <c r="AA261" s="1">
        <v>246</v>
      </c>
      <c r="AB261" s="1">
        <v>0</v>
      </c>
      <c r="AC261" s="1">
        <v>0</v>
      </c>
      <c r="AD261" s="1">
        <v>85</v>
      </c>
      <c r="AE261" s="1">
        <v>611</v>
      </c>
      <c r="AF261" s="1">
        <v>311</v>
      </c>
      <c r="AG261" s="1">
        <v>1877</v>
      </c>
      <c r="AH261" s="1">
        <v>0</v>
      </c>
      <c r="AI261" s="1">
        <v>32</v>
      </c>
      <c r="AJ261" s="1">
        <v>52</v>
      </c>
      <c r="AK261" s="1">
        <v>324</v>
      </c>
      <c r="AL261" s="1">
        <v>0</v>
      </c>
      <c r="AM261" s="1">
        <v>385</v>
      </c>
      <c r="AN261" s="1">
        <v>0</v>
      </c>
      <c r="AO261" s="1">
        <v>143</v>
      </c>
      <c r="AP261" s="1">
        <v>0</v>
      </c>
      <c r="AQ261" s="1">
        <v>0</v>
      </c>
      <c r="AR261" s="1">
        <v>0</v>
      </c>
      <c r="AS261" s="1">
        <v>642</v>
      </c>
      <c r="AT261" s="1">
        <v>0</v>
      </c>
      <c r="AU261" s="1">
        <v>4734</v>
      </c>
      <c r="AV261" s="1">
        <v>0</v>
      </c>
      <c r="AW261" s="1">
        <v>547</v>
      </c>
      <c r="AX261" s="1">
        <v>0</v>
      </c>
      <c r="AY261" s="1">
        <v>659</v>
      </c>
      <c r="AZ261" s="1">
        <v>0</v>
      </c>
      <c r="BA261" s="1">
        <v>575</v>
      </c>
    </row>
    <row r="262" spans="1:53">
      <c r="A262" s="19">
        <v>69004</v>
      </c>
      <c r="B262" s="1">
        <v>2024</v>
      </c>
      <c r="C262" s="1">
        <v>11600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187</v>
      </c>
      <c r="J262" s="1">
        <v>91</v>
      </c>
      <c r="K262" s="1">
        <v>157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53</v>
      </c>
      <c r="X262" s="1">
        <v>0</v>
      </c>
      <c r="Y262" s="1">
        <v>581</v>
      </c>
      <c r="Z262" s="1">
        <v>0</v>
      </c>
      <c r="AA262" s="1">
        <v>90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224</v>
      </c>
      <c r="AH262" s="1">
        <v>0</v>
      </c>
      <c r="AI262" s="1">
        <v>191</v>
      </c>
      <c r="AJ262" s="1">
        <v>0</v>
      </c>
      <c r="AK262" s="1">
        <v>480</v>
      </c>
      <c r="AL262" s="1">
        <v>0</v>
      </c>
      <c r="AM262" s="1">
        <v>864</v>
      </c>
      <c r="AN262" s="1">
        <v>0</v>
      </c>
      <c r="AO262" s="1">
        <v>325</v>
      </c>
      <c r="AP262" s="1">
        <v>0</v>
      </c>
      <c r="AQ262" s="1">
        <v>0</v>
      </c>
      <c r="AR262" s="1">
        <v>0</v>
      </c>
      <c r="AS262" s="1">
        <v>199</v>
      </c>
      <c r="AT262" s="1">
        <v>40</v>
      </c>
      <c r="AU262" s="1">
        <v>3677</v>
      </c>
      <c r="AV262" s="1">
        <v>0</v>
      </c>
      <c r="AW262" s="1">
        <v>2976</v>
      </c>
      <c r="AX262" s="1">
        <v>0</v>
      </c>
      <c r="AY262" s="1">
        <v>1461</v>
      </c>
      <c r="AZ262" s="1">
        <v>0</v>
      </c>
      <c r="BA262" s="1">
        <v>4</v>
      </c>
    </row>
    <row r="263" spans="1:53">
      <c r="A263" s="19">
        <v>69006</v>
      </c>
      <c r="B263" s="1">
        <v>2024</v>
      </c>
      <c r="C263" s="1">
        <v>7123</v>
      </c>
      <c r="D263" s="1">
        <v>0</v>
      </c>
      <c r="E263" s="1">
        <v>0</v>
      </c>
      <c r="F263" s="1">
        <v>61</v>
      </c>
      <c r="G263" s="1">
        <v>92</v>
      </c>
      <c r="H263" s="1">
        <v>207</v>
      </c>
      <c r="I263" s="1">
        <v>892</v>
      </c>
      <c r="J263" s="1">
        <v>61</v>
      </c>
      <c r="K263" s="1">
        <v>179</v>
      </c>
      <c r="L263" s="1">
        <v>0</v>
      </c>
      <c r="M263" s="1">
        <v>0</v>
      </c>
      <c r="N263" s="1">
        <v>0</v>
      </c>
      <c r="O263" s="1">
        <v>115</v>
      </c>
      <c r="P263" s="1">
        <v>165</v>
      </c>
      <c r="Q263" s="1">
        <v>0</v>
      </c>
      <c r="R263" s="1">
        <v>0</v>
      </c>
      <c r="S263" s="1">
        <v>159</v>
      </c>
      <c r="T263" s="1">
        <v>0</v>
      </c>
      <c r="U263" s="1">
        <v>411</v>
      </c>
      <c r="V263" s="1">
        <v>0</v>
      </c>
      <c r="W263" s="1">
        <v>754</v>
      </c>
      <c r="X263" s="1">
        <v>96</v>
      </c>
      <c r="Y263" s="1">
        <v>1130</v>
      </c>
      <c r="Z263" s="1">
        <v>0</v>
      </c>
      <c r="AA263" s="1">
        <v>31</v>
      </c>
      <c r="AB263" s="1">
        <v>0</v>
      </c>
      <c r="AC263" s="1">
        <v>0</v>
      </c>
      <c r="AD263" s="1">
        <v>0</v>
      </c>
      <c r="AE263" s="1">
        <v>121</v>
      </c>
      <c r="AF263" s="1">
        <v>0</v>
      </c>
      <c r="AG263" s="1">
        <v>92</v>
      </c>
      <c r="AH263" s="1">
        <v>0</v>
      </c>
      <c r="AI263" s="1">
        <v>11</v>
      </c>
      <c r="AJ263" s="1">
        <v>36</v>
      </c>
      <c r="AK263" s="1">
        <v>545</v>
      </c>
      <c r="AL263" s="1">
        <v>0</v>
      </c>
      <c r="AM263" s="1">
        <v>0</v>
      </c>
      <c r="AN263" s="1">
        <v>0</v>
      </c>
      <c r="AO263" s="1">
        <v>90</v>
      </c>
      <c r="AP263" s="1">
        <v>0</v>
      </c>
      <c r="AQ263" s="1">
        <v>152</v>
      </c>
      <c r="AR263" s="1">
        <v>0</v>
      </c>
      <c r="AS263" s="1">
        <v>92</v>
      </c>
      <c r="AT263" s="1">
        <v>0</v>
      </c>
      <c r="AU263" s="1">
        <v>283</v>
      </c>
      <c r="AV263" s="1">
        <v>0</v>
      </c>
      <c r="AW263" s="1">
        <v>248</v>
      </c>
      <c r="AX263" s="1">
        <v>0</v>
      </c>
      <c r="AY263" s="1">
        <v>1100</v>
      </c>
      <c r="AZ263" s="1">
        <v>0</v>
      </c>
      <c r="BA263" s="1">
        <v>0</v>
      </c>
    </row>
    <row r="264" spans="1:53">
      <c r="A264" s="19">
        <v>69007</v>
      </c>
      <c r="B264" s="1">
        <v>2024</v>
      </c>
      <c r="C264" s="1">
        <v>21898</v>
      </c>
      <c r="D264" s="1">
        <v>0</v>
      </c>
      <c r="E264" s="1">
        <v>0</v>
      </c>
      <c r="F264" s="1">
        <v>95</v>
      </c>
      <c r="G264" s="1">
        <v>45</v>
      </c>
      <c r="H264" s="1">
        <v>248</v>
      </c>
      <c r="I264" s="1">
        <v>2396</v>
      </c>
      <c r="J264" s="1">
        <v>769</v>
      </c>
      <c r="K264" s="1">
        <v>127</v>
      </c>
      <c r="L264" s="1">
        <v>0</v>
      </c>
      <c r="M264" s="1">
        <v>17</v>
      </c>
      <c r="N264" s="1">
        <v>0</v>
      </c>
      <c r="O264" s="1">
        <v>0</v>
      </c>
      <c r="P264" s="1">
        <v>96</v>
      </c>
      <c r="Q264" s="1">
        <v>57</v>
      </c>
      <c r="R264" s="1">
        <v>6</v>
      </c>
      <c r="S264" s="1">
        <v>291</v>
      </c>
      <c r="T264" s="1">
        <v>0</v>
      </c>
      <c r="U264" s="1">
        <v>509</v>
      </c>
      <c r="V264" s="1">
        <v>0</v>
      </c>
      <c r="W264" s="1">
        <v>668</v>
      </c>
      <c r="X264" s="1">
        <v>72</v>
      </c>
      <c r="Y264" s="1">
        <v>1790</v>
      </c>
      <c r="Z264" s="1">
        <v>40</v>
      </c>
      <c r="AA264" s="1">
        <v>149</v>
      </c>
      <c r="AB264" s="1">
        <v>0</v>
      </c>
      <c r="AC264" s="1">
        <v>13</v>
      </c>
      <c r="AD264" s="1">
        <v>52</v>
      </c>
      <c r="AE264" s="1">
        <v>62</v>
      </c>
      <c r="AF264" s="1">
        <v>0</v>
      </c>
      <c r="AG264" s="1">
        <v>1674</v>
      </c>
      <c r="AH264" s="1">
        <v>0</v>
      </c>
      <c r="AI264" s="1">
        <v>483</v>
      </c>
      <c r="AJ264" s="1">
        <v>84</v>
      </c>
      <c r="AK264" s="1">
        <v>1104</v>
      </c>
      <c r="AL264" s="1">
        <v>0</v>
      </c>
      <c r="AM264" s="1">
        <v>555</v>
      </c>
      <c r="AN264" s="1">
        <v>0</v>
      </c>
      <c r="AO264" s="1">
        <v>361</v>
      </c>
      <c r="AP264" s="1">
        <v>0</v>
      </c>
      <c r="AQ264" s="1">
        <v>526</v>
      </c>
      <c r="AR264" s="1">
        <v>0</v>
      </c>
      <c r="AS264" s="1">
        <v>993</v>
      </c>
      <c r="AT264" s="1">
        <v>0</v>
      </c>
      <c r="AU264" s="1">
        <v>4261</v>
      </c>
      <c r="AV264" s="1">
        <v>0</v>
      </c>
      <c r="AW264" s="1">
        <v>1004</v>
      </c>
      <c r="AX264" s="1">
        <v>0</v>
      </c>
      <c r="AY264" s="1">
        <v>2403</v>
      </c>
      <c r="AZ264" s="1">
        <v>0</v>
      </c>
      <c r="BA264" s="1">
        <v>948</v>
      </c>
    </row>
    <row r="265" spans="1:53">
      <c r="A265" s="19">
        <v>69008</v>
      </c>
      <c r="B265" s="1">
        <v>2024</v>
      </c>
      <c r="C265" s="1">
        <v>13522</v>
      </c>
      <c r="D265" s="1">
        <v>0</v>
      </c>
      <c r="E265" s="1">
        <v>0</v>
      </c>
      <c r="F265" s="1">
        <v>0</v>
      </c>
      <c r="G265" s="1">
        <v>114</v>
      </c>
      <c r="H265" s="1">
        <v>414</v>
      </c>
      <c r="I265" s="1">
        <v>1341</v>
      </c>
      <c r="J265" s="1">
        <v>161</v>
      </c>
      <c r="K265" s="1">
        <v>46</v>
      </c>
      <c r="L265" s="1">
        <v>0</v>
      </c>
      <c r="M265" s="1">
        <v>78</v>
      </c>
      <c r="N265" s="1">
        <v>0</v>
      </c>
      <c r="O265" s="1">
        <v>67</v>
      </c>
      <c r="P265" s="1">
        <v>6</v>
      </c>
      <c r="Q265" s="1">
        <v>167</v>
      </c>
      <c r="R265" s="1">
        <v>0</v>
      </c>
      <c r="S265" s="1">
        <v>225</v>
      </c>
      <c r="T265" s="1">
        <v>35</v>
      </c>
      <c r="U265" s="1">
        <v>54</v>
      </c>
      <c r="V265" s="1">
        <v>0</v>
      </c>
      <c r="W265" s="1">
        <v>65</v>
      </c>
      <c r="X265" s="1">
        <v>0</v>
      </c>
      <c r="Y265" s="1">
        <v>936</v>
      </c>
      <c r="Z265" s="1">
        <v>0</v>
      </c>
      <c r="AA265" s="1">
        <v>0</v>
      </c>
      <c r="AB265" s="1">
        <v>0</v>
      </c>
      <c r="AC265" s="1">
        <v>528</v>
      </c>
      <c r="AD265" s="1">
        <v>0</v>
      </c>
      <c r="AE265" s="1">
        <v>44</v>
      </c>
      <c r="AF265" s="1">
        <v>0</v>
      </c>
      <c r="AG265" s="1">
        <v>237</v>
      </c>
      <c r="AH265" s="1">
        <v>0</v>
      </c>
      <c r="AI265" s="1">
        <v>76</v>
      </c>
      <c r="AJ265" s="1">
        <v>0</v>
      </c>
      <c r="AK265" s="1">
        <v>297</v>
      </c>
      <c r="AL265" s="1">
        <v>0</v>
      </c>
      <c r="AM265" s="1">
        <v>744</v>
      </c>
      <c r="AN265" s="1">
        <v>0</v>
      </c>
      <c r="AO265" s="1">
        <v>475</v>
      </c>
      <c r="AP265" s="1">
        <v>0</v>
      </c>
      <c r="AQ265" s="1">
        <v>639</v>
      </c>
      <c r="AR265" s="1">
        <v>0</v>
      </c>
      <c r="AS265" s="1">
        <v>120</v>
      </c>
      <c r="AT265" s="1">
        <v>0</v>
      </c>
      <c r="AU265" s="1">
        <v>3224</v>
      </c>
      <c r="AV265" s="1">
        <v>0</v>
      </c>
      <c r="AW265" s="1">
        <v>960</v>
      </c>
      <c r="AX265" s="1">
        <v>0</v>
      </c>
      <c r="AY265" s="1">
        <v>2360</v>
      </c>
      <c r="AZ265" s="1">
        <v>0</v>
      </c>
      <c r="BA265" s="1">
        <v>109</v>
      </c>
    </row>
    <row r="266" spans="1:53">
      <c r="A266" s="19">
        <v>69009</v>
      </c>
      <c r="B266" s="1">
        <v>2024</v>
      </c>
      <c r="C266" s="1">
        <v>14844</v>
      </c>
      <c r="D266" s="1">
        <v>0</v>
      </c>
      <c r="E266" s="1">
        <v>0</v>
      </c>
      <c r="F266" s="1">
        <v>80</v>
      </c>
      <c r="G266" s="1">
        <v>117</v>
      </c>
      <c r="H266" s="1">
        <v>338</v>
      </c>
      <c r="I266" s="1">
        <v>843</v>
      </c>
      <c r="J266" s="1">
        <v>573</v>
      </c>
      <c r="K266" s="1">
        <v>87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35</v>
      </c>
      <c r="T266" s="1">
        <v>61</v>
      </c>
      <c r="U266" s="1">
        <v>318</v>
      </c>
      <c r="V266" s="1">
        <v>0</v>
      </c>
      <c r="W266" s="1">
        <v>645</v>
      </c>
      <c r="X266" s="1">
        <v>0</v>
      </c>
      <c r="Y266" s="1">
        <v>1755</v>
      </c>
      <c r="Z266" s="1">
        <v>0</v>
      </c>
      <c r="AA266" s="1">
        <v>169</v>
      </c>
      <c r="AB266" s="1">
        <v>0</v>
      </c>
      <c r="AC266" s="1">
        <v>61</v>
      </c>
      <c r="AD266" s="1">
        <v>0</v>
      </c>
      <c r="AE266" s="1">
        <v>4</v>
      </c>
      <c r="AF266" s="1">
        <v>0</v>
      </c>
      <c r="AG266" s="1">
        <v>234</v>
      </c>
      <c r="AH266" s="1">
        <v>0</v>
      </c>
      <c r="AI266" s="1">
        <v>202</v>
      </c>
      <c r="AJ266" s="1">
        <v>30</v>
      </c>
      <c r="AK266" s="1">
        <v>443</v>
      </c>
      <c r="AL266" s="1">
        <v>0</v>
      </c>
      <c r="AM266" s="1">
        <v>1705</v>
      </c>
      <c r="AN266" s="1">
        <v>0</v>
      </c>
      <c r="AO266" s="1">
        <v>698</v>
      </c>
      <c r="AP266" s="1">
        <v>0</v>
      </c>
      <c r="AQ266" s="1">
        <v>702</v>
      </c>
      <c r="AR266" s="1">
        <v>0</v>
      </c>
      <c r="AS266" s="1">
        <v>1614</v>
      </c>
      <c r="AT266" s="1">
        <v>0</v>
      </c>
      <c r="AU266" s="1">
        <v>2046</v>
      </c>
      <c r="AV266" s="1">
        <v>0</v>
      </c>
      <c r="AW266" s="1">
        <v>1510</v>
      </c>
      <c r="AX266" s="1">
        <v>0</v>
      </c>
      <c r="AY266" s="1">
        <v>573</v>
      </c>
      <c r="AZ266" s="1">
        <v>0</v>
      </c>
      <c r="BA266" s="1">
        <v>1</v>
      </c>
    </row>
    <row r="267" spans="1:53">
      <c r="A267" s="19">
        <v>69010</v>
      </c>
      <c r="B267" s="1">
        <v>2024</v>
      </c>
      <c r="C267" s="1">
        <v>27690</v>
      </c>
      <c r="D267" s="1">
        <v>0</v>
      </c>
      <c r="E267" s="1">
        <v>3</v>
      </c>
      <c r="F267" s="1">
        <v>116</v>
      </c>
      <c r="G267" s="1">
        <v>414</v>
      </c>
      <c r="H267" s="1">
        <v>959</v>
      </c>
      <c r="I267" s="1">
        <v>1966</v>
      </c>
      <c r="J267" s="1">
        <v>1369</v>
      </c>
      <c r="K267" s="1">
        <v>2666</v>
      </c>
      <c r="L267" s="1">
        <v>0</v>
      </c>
      <c r="M267" s="1">
        <v>4</v>
      </c>
      <c r="N267" s="1">
        <v>81</v>
      </c>
      <c r="O267" s="1">
        <v>663</v>
      </c>
      <c r="P267" s="1">
        <v>409</v>
      </c>
      <c r="Q267" s="1">
        <v>506</v>
      </c>
      <c r="R267" s="1">
        <v>91</v>
      </c>
      <c r="S267" s="1">
        <v>848</v>
      </c>
      <c r="T267" s="1">
        <v>63</v>
      </c>
      <c r="U267" s="1">
        <v>446</v>
      </c>
      <c r="V267" s="1">
        <v>8</v>
      </c>
      <c r="W267" s="1">
        <v>618</v>
      </c>
      <c r="X267" s="1">
        <v>144</v>
      </c>
      <c r="Y267" s="1">
        <v>757</v>
      </c>
      <c r="Z267" s="1">
        <v>0</v>
      </c>
      <c r="AA267" s="1">
        <v>129</v>
      </c>
      <c r="AB267" s="1">
        <v>0</v>
      </c>
      <c r="AC267" s="1">
        <v>311</v>
      </c>
      <c r="AD267" s="1">
        <v>0</v>
      </c>
      <c r="AE267" s="1">
        <v>505</v>
      </c>
      <c r="AF267" s="1">
        <v>168</v>
      </c>
      <c r="AG267" s="1">
        <v>323</v>
      </c>
      <c r="AH267" s="1">
        <v>0</v>
      </c>
      <c r="AI267" s="1">
        <v>81</v>
      </c>
      <c r="AJ267" s="1">
        <v>86</v>
      </c>
      <c r="AK267" s="1">
        <v>1538</v>
      </c>
      <c r="AL267" s="1">
        <v>0</v>
      </c>
      <c r="AM267" s="1">
        <v>1238</v>
      </c>
      <c r="AN267" s="1">
        <v>0</v>
      </c>
      <c r="AO267" s="1">
        <v>1749</v>
      </c>
      <c r="AP267" s="1">
        <v>0</v>
      </c>
      <c r="AQ267" s="1">
        <v>682</v>
      </c>
      <c r="AR267" s="1">
        <v>0</v>
      </c>
      <c r="AS267" s="1">
        <v>979</v>
      </c>
      <c r="AT267" s="1">
        <v>0</v>
      </c>
      <c r="AU267" s="1">
        <v>2709</v>
      </c>
      <c r="AV267" s="1">
        <v>0</v>
      </c>
      <c r="AW267" s="1">
        <v>754</v>
      </c>
      <c r="AX267" s="1">
        <v>0</v>
      </c>
      <c r="AY267" s="1">
        <v>4307</v>
      </c>
      <c r="AZ267" s="1">
        <v>0</v>
      </c>
      <c r="BA267" s="1">
        <v>0</v>
      </c>
    </row>
    <row r="268" spans="1:53">
      <c r="A268" s="19">
        <v>69011</v>
      </c>
      <c r="B268" s="1">
        <v>2024</v>
      </c>
      <c r="C268" s="1">
        <v>19134</v>
      </c>
      <c r="D268" s="1">
        <v>0</v>
      </c>
      <c r="E268" s="1">
        <v>0</v>
      </c>
      <c r="F268" s="1">
        <v>151</v>
      </c>
      <c r="G268" s="1">
        <v>84</v>
      </c>
      <c r="H268" s="1">
        <v>735</v>
      </c>
      <c r="I268" s="1">
        <v>2065</v>
      </c>
      <c r="J268" s="1">
        <v>1123</v>
      </c>
      <c r="K268" s="1">
        <v>583</v>
      </c>
      <c r="L268" s="1">
        <v>0</v>
      </c>
      <c r="M268" s="1">
        <v>0</v>
      </c>
      <c r="N268" s="1">
        <v>107</v>
      </c>
      <c r="O268" s="1">
        <v>184</v>
      </c>
      <c r="P268" s="1">
        <v>427</v>
      </c>
      <c r="Q268" s="1">
        <v>226</v>
      </c>
      <c r="R268" s="1">
        <v>23</v>
      </c>
      <c r="S268" s="1">
        <v>378</v>
      </c>
      <c r="T268" s="1">
        <v>55</v>
      </c>
      <c r="U268" s="1">
        <v>251</v>
      </c>
      <c r="V268" s="1">
        <v>16</v>
      </c>
      <c r="W268" s="1">
        <v>604</v>
      </c>
      <c r="X268" s="1">
        <v>340</v>
      </c>
      <c r="Y268" s="1">
        <v>630</v>
      </c>
      <c r="Z268" s="1">
        <v>90</v>
      </c>
      <c r="AA268" s="1">
        <v>326</v>
      </c>
      <c r="AB268" s="1">
        <v>0</v>
      </c>
      <c r="AC268" s="1">
        <v>0</v>
      </c>
      <c r="AD268" s="1">
        <v>204</v>
      </c>
      <c r="AE268" s="1">
        <v>152</v>
      </c>
      <c r="AF268" s="1">
        <v>165</v>
      </c>
      <c r="AG268" s="1">
        <v>194</v>
      </c>
      <c r="AH268" s="1">
        <v>220</v>
      </c>
      <c r="AI268" s="1">
        <v>228</v>
      </c>
      <c r="AJ268" s="1">
        <v>233</v>
      </c>
      <c r="AK268" s="1">
        <v>1053</v>
      </c>
      <c r="AL268" s="1">
        <v>0</v>
      </c>
      <c r="AM268" s="1">
        <v>442</v>
      </c>
      <c r="AN268" s="1">
        <v>0</v>
      </c>
      <c r="AO268" s="1">
        <v>906</v>
      </c>
      <c r="AP268" s="1">
        <v>0</v>
      </c>
      <c r="AQ268" s="1">
        <v>62</v>
      </c>
      <c r="AR268" s="1">
        <v>0</v>
      </c>
      <c r="AS268" s="1">
        <v>965</v>
      </c>
      <c r="AT268" s="1">
        <v>0</v>
      </c>
      <c r="AU268" s="1">
        <v>3037</v>
      </c>
      <c r="AV268" s="1">
        <v>0</v>
      </c>
      <c r="AW268" s="1">
        <v>1086</v>
      </c>
      <c r="AX268" s="1">
        <v>0</v>
      </c>
      <c r="AY268" s="1">
        <v>1148</v>
      </c>
      <c r="AZ268" s="1">
        <v>0</v>
      </c>
      <c r="BA268" s="1">
        <v>641</v>
      </c>
    </row>
    <row r="269" spans="1:53">
      <c r="A269" s="19">
        <v>69015</v>
      </c>
      <c r="B269" s="1">
        <v>2024</v>
      </c>
      <c r="C269" s="1">
        <v>12158</v>
      </c>
      <c r="D269" s="1">
        <v>0</v>
      </c>
      <c r="E269" s="1">
        <v>0</v>
      </c>
      <c r="F269" s="1">
        <v>45</v>
      </c>
      <c r="G269" s="1">
        <v>0</v>
      </c>
      <c r="H269" s="1">
        <v>83</v>
      </c>
      <c r="I269" s="1">
        <v>992</v>
      </c>
      <c r="J269" s="1">
        <v>336</v>
      </c>
      <c r="K269" s="1">
        <v>43</v>
      </c>
      <c r="L269" s="1">
        <v>0</v>
      </c>
      <c r="M269" s="1">
        <v>0</v>
      </c>
      <c r="N269" s="1">
        <v>12</v>
      </c>
      <c r="O269" s="1">
        <v>31</v>
      </c>
      <c r="P269" s="1">
        <v>0</v>
      </c>
      <c r="Q269" s="1">
        <v>1098</v>
      </c>
      <c r="R269" s="1">
        <v>91</v>
      </c>
      <c r="S269" s="1">
        <v>35</v>
      </c>
      <c r="T269" s="1">
        <v>0</v>
      </c>
      <c r="U269" s="1">
        <v>269</v>
      </c>
      <c r="V269" s="1">
        <v>117</v>
      </c>
      <c r="W269" s="1">
        <v>238</v>
      </c>
      <c r="X269" s="1">
        <v>0</v>
      </c>
      <c r="Y269" s="1">
        <v>267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101</v>
      </c>
      <c r="AF269" s="1">
        <v>0</v>
      </c>
      <c r="AG269" s="1">
        <v>929</v>
      </c>
      <c r="AH269" s="1">
        <v>21</v>
      </c>
      <c r="AI269" s="1">
        <v>92</v>
      </c>
      <c r="AJ269" s="1">
        <v>0</v>
      </c>
      <c r="AK269" s="1">
        <v>648</v>
      </c>
      <c r="AL269" s="1">
        <v>0</v>
      </c>
      <c r="AM269" s="1">
        <v>153</v>
      </c>
      <c r="AN269" s="1">
        <v>0</v>
      </c>
      <c r="AO269" s="1">
        <v>45</v>
      </c>
      <c r="AP269" s="1">
        <v>0</v>
      </c>
      <c r="AQ269" s="1">
        <v>0</v>
      </c>
      <c r="AR269" s="1">
        <v>0</v>
      </c>
      <c r="AS269" s="1">
        <v>721</v>
      </c>
      <c r="AT269" s="1">
        <v>0</v>
      </c>
      <c r="AU269" s="1">
        <v>4421</v>
      </c>
      <c r="AV269" s="1">
        <v>0</v>
      </c>
      <c r="AW269" s="1">
        <v>717</v>
      </c>
      <c r="AX269" s="1">
        <v>0</v>
      </c>
      <c r="AY269" s="1">
        <v>577</v>
      </c>
      <c r="AZ269" s="1">
        <v>38</v>
      </c>
      <c r="BA269" s="1">
        <v>38</v>
      </c>
    </row>
    <row r="270" spans="1:53">
      <c r="A270" s="19">
        <v>69017</v>
      </c>
      <c r="B270" s="1">
        <v>2024</v>
      </c>
      <c r="C270" s="1">
        <v>20957</v>
      </c>
      <c r="D270" s="1">
        <v>0</v>
      </c>
      <c r="E270" s="1">
        <v>0</v>
      </c>
      <c r="F270" s="1">
        <v>51</v>
      </c>
      <c r="G270" s="1">
        <v>12</v>
      </c>
      <c r="H270" s="1">
        <v>921</v>
      </c>
      <c r="I270" s="1">
        <v>1128</v>
      </c>
      <c r="J270" s="1">
        <v>2414</v>
      </c>
      <c r="K270" s="1">
        <v>870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45</v>
      </c>
      <c r="R270" s="1">
        <v>0</v>
      </c>
      <c r="S270" s="1">
        <v>19</v>
      </c>
      <c r="T270" s="1">
        <v>0</v>
      </c>
      <c r="U270" s="1">
        <v>395</v>
      </c>
      <c r="V270" s="1">
        <v>0</v>
      </c>
      <c r="W270" s="1">
        <v>862</v>
      </c>
      <c r="X270" s="1">
        <v>0</v>
      </c>
      <c r="Y270" s="1">
        <v>378</v>
      </c>
      <c r="Z270" s="1">
        <v>0</v>
      </c>
      <c r="AA270" s="1">
        <v>185</v>
      </c>
      <c r="AB270" s="1">
        <v>0</v>
      </c>
      <c r="AC270" s="1">
        <v>250</v>
      </c>
      <c r="AD270" s="1">
        <v>0</v>
      </c>
      <c r="AE270" s="1">
        <v>747</v>
      </c>
      <c r="AF270" s="1">
        <v>0</v>
      </c>
      <c r="AG270" s="1">
        <v>557</v>
      </c>
      <c r="AH270" s="1">
        <v>0</v>
      </c>
      <c r="AI270" s="1">
        <v>404</v>
      </c>
      <c r="AJ270" s="1">
        <v>0</v>
      </c>
      <c r="AK270" s="1">
        <v>34</v>
      </c>
      <c r="AL270" s="1">
        <v>0</v>
      </c>
      <c r="AM270" s="1">
        <v>1325</v>
      </c>
      <c r="AN270" s="1">
        <v>0</v>
      </c>
      <c r="AO270" s="1">
        <v>924</v>
      </c>
      <c r="AP270" s="1">
        <v>0</v>
      </c>
      <c r="AQ270" s="1">
        <v>782</v>
      </c>
      <c r="AR270" s="1">
        <v>0</v>
      </c>
      <c r="AS270" s="1">
        <v>1677</v>
      </c>
      <c r="AT270" s="1">
        <v>0</v>
      </c>
      <c r="AU270" s="1">
        <v>2853</v>
      </c>
      <c r="AV270" s="1">
        <v>0</v>
      </c>
      <c r="AW270" s="1">
        <v>2241</v>
      </c>
      <c r="AX270" s="1">
        <v>0</v>
      </c>
      <c r="AY270" s="1">
        <v>1883</v>
      </c>
      <c r="AZ270" s="1">
        <v>0</v>
      </c>
      <c r="BA270" s="1">
        <v>0</v>
      </c>
    </row>
    <row r="271" spans="1:53">
      <c r="A271" s="19">
        <v>69018</v>
      </c>
      <c r="B271" s="1">
        <v>2024</v>
      </c>
      <c r="C271" s="1">
        <v>8074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16</v>
      </c>
      <c r="J271" s="1">
        <v>102</v>
      </c>
      <c r="K271" s="1">
        <v>65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153</v>
      </c>
      <c r="Y271" s="1">
        <v>104</v>
      </c>
      <c r="Z271" s="1">
        <v>91</v>
      </c>
      <c r="AA271" s="1">
        <v>305</v>
      </c>
      <c r="AB271" s="1">
        <v>0</v>
      </c>
      <c r="AC271" s="1">
        <v>0</v>
      </c>
      <c r="AD271" s="1">
        <v>0</v>
      </c>
      <c r="AE271" s="1">
        <v>39</v>
      </c>
      <c r="AF271" s="1">
        <v>0</v>
      </c>
      <c r="AG271" s="1">
        <v>541</v>
      </c>
      <c r="AH271" s="1">
        <v>0</v>
      </c>
      <c r="AI271" s="1">
        <v>92</v>
      </c>
      <c r="AJ271" s="1">
        <v>0</v>
      </c>
      <c r="AK271" s="1">
        <v>449</v>
      </c>
      <c r="AL271" s="1">
        <v>0</v>
      </c>
      <c r="AM271" s="1">
        <v>431</v>
      </c>
      <c r="AN271" s="1">
        <v>0</v>
      </c>
      <c r="AO271" s="1">
        <v>493</v>
      </c>
      <c r="AP271" s="1">
        <v>0</v>
      </c>
      <c r="AQ271" s="1">
        <v>366</v>
      </c>
      <c r="AR271" s="1">
        <v>0</v>
      </c>
      <c r="AS271" s="1">
        <v>0</v>
      </c>
      <c r="AT271" s="1">
        <v>0</v>
      </c>
      <c r="AU271" s="1">
        <v>1346</v>
      </c>
      <c r="AV271" s="1">
        <v>0</v>
      </c>
      <c r="AW271" s="1">
        <v>1730</v>
      </c>
      <c r="AX271" s="1">
        <v>0</v>
      </c>
      <c r="AY271" s="1">
        <v>1705</v>
      </c>
      <c r="AZ271" s="1">
        <v>0</v>
      </c>
      <c r="BA271" s="1">
        <v>46</v>
      </c>
    </row>
    <row r="272" spans="1:53">
      <c r="A272" s="19">
        <v>69019</v>
      </c>
      <c r="B272" s="1">
        <v>2024</v>
      </c>
      <c r="C272" s="1">
        <v>28472</v>
      </c>
      <c r="D272" s="1">
        <v>0</v>
      </c>
      <c r="E272" s="1">
        <v>0</v>
      </c>
      <c r="F272" s="1">
        <v>0</v>
      </c>
      <c r="G272" s="1">
        <v>354</v>
      </c>
      <c r="H272" s="1">
        <v>388</v>
      </c>
      <c r="I272" s="1">
        <v>1814</v>
      </c>
      <c r="J272" s="1">
        <v>1643</v>
      </c>
      <c r="K272" s="1">
        <v>702</v>
      </c>
      <c r="L272" s="1">
        <v>0</v>
      </c>
      <c r="M272" s="1">
        <v>0</v>
      </c>
      <c r="N272" s="1">
        <v>0</v>
      </c>
      <c r="O272" s="1">
        <v>6</v>
      </c>
      <c r="P272" s="1">
        <v>22</v>
      </c>
      <c r="Q272" s="1">
        <v>194</v>
      </c>
      <c r="R272" s="1">
        <v>0</v>
      </c>
      <c r="S272" s="1">
        <v>264</v>
      </c>
      <c r="T272" s="1">
        <v>92</v>
      </c>
      <c r="U272" s="1">
        <v>159</v>
      </c>
      <c r="V272" s="1">
        <v>59</v>
      </c>
      <c r="W272" s="1">
        <v>852</v>
      </c>
      <c r="X272" s="1">
        <v>527</v>
      </c>
      <c r="Y272" s="1">
        <v>1731</v>
      </c>
      <c r="Z272" s="1">
        <v>67</v>
      </c>
      <c r="AA272" s="1">
        <v>612</v>
      </c>
      <c r="AB272" s="1">
        <v>8</v>
      </c>
      <c r="AC272" s="1">
        <v>114</v>
      </c>
      <c r="AD272" s="1">
        <v>210</v>
      </c>
      <c r="AE272" s="1">
        <v>777</v>
      </c>
      <c r="AF272" s="1">
        <v>112</v>
      </c>
      <c r="AG272" s="1">
        <v>1113</v>
      </c>
      <c r="AH272" s="1">
        <v>12</v>
      </c>
      <c r="AI272" s="1">
        <v>700</v>
      </c>
      <c r="AJ272" s="1">
        <v>274</v>
      </c>
      <c r="AK272" s="1">
        <v>503</v>
      </c>
      <c r="AL272" s="1">
        <v>0</v>
      </c>
      <c r="AM272" s="1">
        <v>2564</v>
      </c>
      <c r="AN272" s="1">
        <v>0</v>
      </c>
      <c r="AO272" s="1">
        <v>672</v>
      </c>
      <c r="AP272" s="1">
        <v>0</v>
      </c>
      <c r="AQ272" s="1">
        <v>397</v>
      </c>
      <c r="AR272" s="1">
        <v>0</v>
      </c>
      <c r="AS272" s="1">
        <v>1357</v>
      </c>
      <c r="AT272" s="1">
        <v>0</v>
      </c>
      <c r="AU272" s="1">
        <v>5514</v>
      </c>
      <c r="AV272" s="1">
        <v>0</v>
      </c>
      <c r="AW272" s="1">
        <v>1272</v>
      </c>
      <c r="AX272" s="1">
        <v>0</v>
      </c>
      <c r="AY272" s="1">
        <v>3387</v>
      </c>
      <c r="AZ272" s="1">
        <v>0</v>
      </c>
      <c r="BA272" s="1">
        <v>0</v>
      </c>
    </row>
    <row r="273" spans="1:103">
      <c r="A273" s="19">
        <v>69020</v>
      </c>
      <c r="B273" s="1">
        <v>2024</v>
      </c>
      <c r="C273" s="1">
        <v>33058</v>
      </c>
      <c r="D273" s="1">
        <v>0</v>
      </c>
      <c r="E273" s="1">
        <v>22</v>
      </c>
      <c r="F273" s="1">
        <v>230</v>
      </c>
      <c r="G273" s="1">
        <v>296</v>
      </c>
      <c r="H273" s="1">
        <v>2421</v>
      </c>
      <c r="I273" s="1">
        <v>2680</v>
      </c>
      <c r="J273" s="1">
        <v>1653</v>
      </c>
      <c r="K273" s="1">
        <v>1069</v>
      </c>
      <c r="L273" s="1">
        <v>19</v>
      </c>
      <c r="M273" s="1">
        <v>297</v>
      </c>
      <c r="N273" s="1">
        <v>130</v>
      </c>
      <c r="O273" s="1">
        <v>170</v>
      </c>
      <c r="P273" s="1">
        <v>12</v>
      </c>
      <c r="Q273" s="1">
        <v>1064</v>
      </c>
      <c r="R273" s="1">
        <v>51</v>
      </c>
      <c r="S273" s="1">
        <v>382</v>
      </c>
      <c r="T273" s="1">
        <v>38</v>
      </c>
      <c r="U273" s="1">
        <v>659</v>
      </c>
      <c r="V273" s="1">
        <v>103</v>
      </c>
      <c r="W273" s="1">
        <v>1039</v>
      </c>
      <c r="X273" s="1">
        <v>8</v>
      </c>
      <c r="Y273" s="1">
        <v>3114</v>
      </c>
      <c r="Z273" s="1">
        <v>0</v>
      </c>
      <c r="AA273" s="1">
        <v>399</v>
      </c>
      <c r="AB273" s="1">
        <v>55</v>
      </c>
      <c r="AC273" s="1">
        <v>574</v>
      </c>
      <c r="AD273" s="1">
        <v>0</v>
      </c>
      <c r="AE273" s="1">
        <v>933</v>
      </c>
      <c r="AF273" s="1">
        <v>174</v>
      </c>
      <c r="AG273" s="1">
        <v>3341</v>
      </c>
      <c r="AH273" s="1">
        <v>74</v>
      </c>
      <c r="AI273" s="1">
        <v>91</v>
      </c>
      <c r="AJ273" s="1">
        <v>0</v>
      </c>
      <c r="AK273" s="1">
        <v>539</v>
      </c>
      <c r="AL273" s="1">
        <v>61</v>
      </c>
      <c r="AM273" s="1">
        <v>5</v>
      </c>
      <c r="AN273" s="1">
        <v>0</v>
      </c>
      <c r="AO273" s="1">
        <v>635</v>
      </c>
      <c r="AP273" s="1">
        <v>0</v>
      </c>
      <c r="AQ273" s="1">
        <v>386</v>
      </c>
      <c r="AR273" s="1">
        <v>0</v>
      </c>
      <c r="AS273" s="1">
        <v>2146</v>
      </c>
      <c r="AT273" s="1">
        <v>0</v>
      </c>
      <c r="AU273" s="1">
        <v>6283</v>
      </c>
      <c r="AV273" s="1">
        <v>0</v>
      </c>
      <c r="AW273" s="1">
        <v>766</v>
      </c>
      <c r="AX273" s="1">
        <v>0</v>
      </c>
      <c r="AY273" s="1">
        <v>1139</v>
      </c>
      <c r="AZ273" s="1">
        <v>0</v>
      </c>
      <c r="BA273" s="1">
        <v>0</v>
      </c>
    </row>
    <row r="274" spans="1:103">
      <c r="A274" s="19">
        <v>69021</v>
      </c>
      <c r="B274" s="1">
        <v>2024</v>
      </c>
      <c r="C274" s="1">
        <v>17836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115</v>
      </c>
      <c r="BM274" s="1">
        <v>623</v>
      </c>
      <c r="BN274" s="1">
        <v>150</v>
      </c>
      <c r="BO274" s="1">
        <v>853</v>
      </c>
      <c r="BP274" s="1">
        <v>68</v>
      </c>
      <c r="BQ274" s="1">
        <v>1030</v>
      </c>
      <c r="BR274" s="1">
        <v>0</v>
      </c>
      <c r="BS274" s="1">
        <v>0</v>
      </c>
      <c r="BT274" s="1">
        <v>0</v>
      </c>
      <c r="BU274" s="1">
        <v>191</v>
      </c>
      <c r="BV274" s="1">
        <v>0</v>
      </c>
      <c r="BW274" s="1">
        <v>315</v>
      </c>
      <c r="BX274" s="1">
        <v>0</v>
      </c>
      <c r="BY274" s="1">
        <v>214</v>
      </c>
      <c r="BZ274" s="1">
        <v>0</v>
      </c>
      <c r="CA274" s="1">
        <v>26</v>
      </c>
      <c r="CB274" s="1">
        <v>89</v>
      </c>
      <c r="CC274" s="1">
        <v>197</v>
      </c>
      <c r="CD274" s="1">
        <v>0</v>
      </c>
      <c r="CE274" s="1">
        <v>649</v>
      </c>
      <c r="CF274" s="1">
        <v>0</v>
      </c>
      <c r="CG274" s="1">
        <v>5</v>
      </c>
      <c r="CH274" s="1">
        <v>0</v>
      </c>
      <c r="CI274" s="1">
        <v>695</v>
      </c>
      <c r="CJ274" s="1">
        <v>0</v>
      </c>
      <c r="CK274" s="1">
        <v>458</v>
      </c>
      <c r="CL274" s="1">
        <v>0</v>
      </c>
      <c r="CM274" s="1">
        <v>1045</v>
      </c>
      <c r="CN274" s="1">
        <v>0</v>
      </c>
      <c r="CO274" s="1">
        <v>508</v>
      </c>
      <c r="CP274" s="1">
        <v>0</v>
      </c>
      <c r="CQ274" s="1">
        <v>825</v>
      </c>
      <c r="CR274" s="1">
        <v>0</v>
      </c>
      <c r="CS274" s="1">
        <v>2618</v>
      </c>
      <c r="CT274" s="1">
        <v>0</v>
      </c>
      <c r="CU274" s="1">
        <v>1448</v>
      </c>
      <c r="CV274" s="1">
        <v>0</v>
      </c>
      <c r="CW274" s="1">
        <v>5426</v>
      </c>
      <c r="CX274" s="1">
        <v>0</v>
      </c>
      <c r="CY274" s="1">
        <v>288</v>
      </c>
    </row>
    <row r="275" spans="1:103">
      <c r="A275" s="19">
        <v>69022</v>
      </c>
      <c r="B275" s="1">
        <v>2024</v>
      </c>
      <c r="C275" s="1">
        <v>8363</v>
      </c>
      <c r="D275" s="1">
        <v>0</v>
      </c>
      <c r="E275" s="1">
        <v>0</v>
      </c>
      <c r="F275" s="1">
        <v>0</v>
      </c>
      <c r="G275" s="1">
        <v>0</v>
      </c>
      <c r="H275" s="1">
        <v>35</v>
      </c>
      <c r="I275" s="1">
        <v>0</v>
      </c>
      <c r="J275" s="1">
        <v>11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8</v>
      </c>
      <c r="Y275" s="1">
        <v>218</v>
      </c>
      <c r="Z275" s="1">
        <v>0</v>
      </c>
      <c r="AA275" s="1">
        <v>25</v>
      </c>
      <c r="AB275" s="1">
        <v>0</v>
      </c>
      <c r="AC275" s="1">
        <v>0</v>
      </c>
      <c r="AD275" s="1">
        <v>0</v>
      </c>
      <c r="AE275" s="1">
        <v>38</v>
      </c>
      <c r="AF275" s="1">
        <v>5</v>
      </c>
      <c r="AG275" s="1">
        <v>436</v>
      </c>
      <c r="AH275" s="1">
        <v>0</v>
      </c>
      <c r="AI275" s="1">
        <v>121</v>
      </c>
      <c r="AJ275" s="1">
        <v>0</v>
      </c>
      <c r="AK275" s="1">
        <v>219</v>
      </c>
      <c r="AL275" s="1">
        <v>0</v>
      </c>
      <c r="AM275" s="1">
        <v>1011</v>
      </c>
      <c r="AN275" s="1">
        <v>0</v>
      </c>
      <c r="AO275" s="1">
        <v>736</v>
      </c>
      <c r="AP275" s="1">
        <v>0</v>
      </c>
      <c r="AQ275" s="1">
        <v>0</v>
      </c>
      <c r="AR275" s="1">
        <v>0</v>
      </c>
      <c r="AS275" s="1">
        <v>328</v>
      </c>
      <c r="AT275" s="1">
        <v>0</v>
      </c>
      <c r="AU275" s="1">
        <v>3278</v>
      </c>
      <c r="AV275" s="1">
        <v>0</v>
      </c>
      <c r="AW275" s="1">
        <v>458</v>
      </c>
      <c r="AX275" s="1">
        <v>0</v>
      </c>
      <c r="AY275" s="1">
        <v>1436</v>
      </c>
      <c r="AZ275" s="1">
        <v>0</v>
      </c>
      <c r="BA275" s="1">
        <v>0</v>
      </c>
    </row>
    <row r="276" spans="1:103">
      <c r="A276" s="19">
        <v>70001</v>
      </c>
      <c r="B276" s="1">
        <v>2024</v>
      </c>
      <c r="C276" s="1">
        <v>18302</v>
      </c>
      <c r="D276" s="1">
        <v>0</v>
      </c>
      <c r="E276" s="1">
        <v>0</v>
      </c>
      <c r="F276" s="1">
        <v>27</v>
      </c>
      <c r="G276" s="1">
        <v>87</v>
      </c>
      <c r="H276" s="1">
        <v>356</v>
      </c>
      <c r="I276" s="1">
        <v>665</v>
      </c>
      <c r="J276" s="1">
        <v>246</v>
      </c>
      <c r="K276" s="1">
        <v>36</v>
      </c>
      <c r="L276" s="1">
        <v>0</v>
      </c>
      <c r="M276" s="1">
        <v>4</v>
      </c>
      <c r="N276" s="1">
        <v>0</v>
      </c>
      <c r="O276" s="1">
        <v>0</v>
      </c>
      <c r="P276" s="1">
        <v>0</v>
      </c>
      <c r="Q276" s="1">
        <v>26</v>
      </c>
      <c r="R276" s="1">
        <v>0</v>
      </c>
      <c r="S276" s="1">
        <v>36</v>
      </c>
      <c r="T276" s="1">
        <v>0</v>
      </c>
      <c r="U276" s="1">
        <v>1086</v>
      </c>
      <c r="V276" s="1">
        <v>0</v>
      </c>
      <c r="W276" s="1">
        <v>718</v>
      </c>
      <c r="X276" s="1">
        <v>0</v>
      </c>
      <c r="Y276" s="1">
        <v>872</v>
      </c>
      <c r="Z276" s="1">
        <v>0</v>
      </c>
      <c r="AA276" s="1">
        <v>52</v>
      </c>
      <c r="AB276" s="1">
        <v>0</v>
      </c>
      <c r="AC276" s="1">
        <v>397</v>
      </c>
      <c r="AD276" s="1">
        <v>0</v>
      </c>
      <c r="AE276" s="1">
        <v>756</v>
      </c>
      <c r="AF276" s="1">
        <v>0</v>
      </c>
      <c r="AG276" s="1">
        <v>786</v>
      </c>
      <c r="AH276" s="1">
        <v>0</v>
      </c>
      <c r="AI276" s="1">
        <v>294</v>
      </c>
      <c r="AJ276" s="1">
        <v>0</v>
      </c>
      <c r="AK276" s="1">
        <v>237</v>
      </c>
      <c r="AL276" s="1">
        <v>0</v>
      </c>
      <c r="AM276" s="1">
        <v>887</v>
      </c>
      <c r="AN276" s="1">
        <v>0</v>
      </c>
      <c r="AO276" s="1">
        <v>392</v>
      </c>
      <c r="AP276" s="1">
        <v>123</v>
      </c>
      <c r="AQ276" s="1">
        <v>2586</v>
      </c>
      <c r="AR276" s="1">
        <v>0</v>
      </c>
      <c r="AS276" s="1">
        <v>1729</v>
      </c>
      <c r="AT276" s="1">
        <v>0</v>
      </c>
      <c r="AU276" s="1">
        <v>2570</v>
      </c>
      <c r="AV276" s="1">
        <v>0</v>
      </c>
      <c r="AW276" s="1">
        <v>1398</v>
      </c>
      <c r="AX276" s="1">
        <v>0</v>
      </c>
      <c r="AY276" s="1">
        <v>1936</v>
      </c>
      <c r="AZ276" s="1">
        <v>0</v>
      </c>
      <c r="BA276" s="1">
        <v>0</v>
      </c>
    </row>
    <row r="277" spans="1:103">
      <c r="A277" s="19">
        <v>70002</v>
      </c>
      <c r="B277" s="1">
        <v>2024</v>
      </c>
      <c r="C277" s="1">
        <v>21616</v>
      </c>
      <c r="D277" s="1">
        <v>0</v>
      </c>
      <c r="E277" s="1">
        <v>0</v>
      </c>
      <c r="F277" s="1">
        <v>26</v>
      </c>
      <c r="G277" s="1">
        <v>235</v>
      </c>
      <c r="H277" s="1">
        <v>1547</v>
      </c>
      <c r="I277" s="1">
        <v>2133</v>
      </c>
      <c r="J277" s="1">
        <v>596</v>
      </c>
      <c r="K277" s="1">
        <v>122</v>
      </c>
      <c r="L277" s="1">
        <v>0</v>
      </c>
      <c r="M277" s="1">
        <v>239</v>
      </c>
      <c r="N277" s="1">
        <v>0</v>
      </c>
      <c r="O277" s="1">
        <v>461</v>
      </c>
      <c r="P277" s="1">
        <v>18</v>
      </c>
      <c r="Q277" s="1">
        <v>189</v>
      </c>
      <c r="R277" s="1">
        <v>100</v>
      </c>
      <c r="S277" s="1">
        <v>92</v>
      </c>
      <c r="T277" s="1">
        <v>146</v>
      </c>
      <c r="U277" s="1">
        <v>141</v>
      </c>
      <c r="V277" s="1">
        <v>0</v>
      </c>
      <c r="W277" s="1">
        <v>917</v>
      </c>
      <c r="X277" s="1">
        <v>0</v>
      </c>
      <c r="Y277" s="1">
        <v>650</v>
      </c>
      <c r="Z277" s="1">
        <v>0</v>
      </c>
      <c r="AA277" s="1">
        <v>351</v>
      </c>
      <c r="AB277" s="1">
        <v>90</v>
      </c>
      <c r="AC277" s="1">
        <v>46</v>
      </c>
      <c r="AD277" s="1">
        <v>0</v>
      </c>
      <c r="AE277" s="1">
        <v>962</v>
      </c>
      <c r="AF277" s="1">
        <v>14</v>
      </c>
      <c r="AG277" s="1">
        <v>1798</v>
      </c>
      <c r="AH277" s="1">
        <v>0</v>
      </c>
      <c r="AI277" s="1">
        <v>178</v>
      </c>
      <c r="AJ277" s="1">
        <v>162</v>
      </c>
      <c r="AK277" s="1">
        <v>583</v>
      </c>
      <c r="AL277" s="1">
        <v>0</v>
      </c>
      <c r="AM277" s="1">
        <v>387</v>
      </c>
      <c r="AN277" s="1">
        <v>0</v>
      </c>
      <c r="AO277" s="1">
        <v>161</v>
      </c>
      <c r="AP277" s="1">
        <v>0</v>
      </c>
      <c r="AQ277" s="1">
        <v>574</v>
      </c>
      <c r="AR277" s="1">
        <v>0</v>
      </c>
      <c r="AS277" s="1">
        <v>1498</v>
      </c>
      <c r="AT277" s="1">
        <v>0</v>
      </c>
      <c r="AU277" s="1">
        <v>3585</v>
      </c>
      <c r="AV277" s="1">
        <v>0</v>
      </c>
      <c r="AW277" s="1">
        <v>1059</v>
      </c>
      <c r="AX277" s="1">
        <v>0</v>
      </c>
      <c r="AY277" s="1">
        <v>1839</v>
      </c>
      <c r="AZ277" s="1">
        <v>0</v>
      </c>
      <c r="BA277" s="1">
        <v>717</v>
      </c>
    </row>
    <row r="278" spans="1:103">
      <c r="A278" s="19">
        <v>70003</v>
      </c>
      <c r="B278" s="1">
        <v>2024</v>
      </c>
      <c r="C278" s="1">
        <v>32213</v>
      </c>
      <c r="D278" s="1">
        <v>0</v>
      </c>
      <c r="E278" s="1">
        <v>0</v>
      </c>
      <c r="F278" s="1">
        <v>0</v>
      </c>
      <c r="G278" s="1">
        <v>710</v>
      </c>
      <c r="H278" s="1">
        <v>6300</v>
      </c>
      <c r="I278" s="1">
        <v>7819</v>
      </c>
      <c r="J278" s="1">
        <v>629</v>
      </c>
      <c r="K278" s="1">
        <v>95</v>
      </c>
      <c r="L278" s="1">
        <v>26</v>
      </c>
      <c r="M278" s="1">
        <v>153</v>
      </c>
      <c r="N278" s="1">
        <v>434</v>
      </c>
      <c r="O278" s="1">
        <v>588</v>
      </c>
      <c r="P278" s="1">
        <v>223</v>
      </c>
      <c r="Q278" s="1">
        <v>1805</v>
      </c>
      <c r="R278" s="1">
        <v>36</v>
      </c>
      <c r="S278" s="1">
        <v>346</v>
      </c>
      <c r="T278" s="1">
        <v>2</v>
      </c>
      <c r="U278" s="1">
        <v>39</v>
      </c>
      <c r="V278" s="1">
        <v>166</v>
      </c>
      <c r="W278" s="1">
        <v>182</v>
      </c>
      <c r="X278" s="1">
        <v>78</v>
      </c>
      <c r="Y278" s="1">
        <v>253</v>
      </c>
      <c r="Z278" s="1">
        <v>143</v>
      </c>
      <c r="AA278" s="1">
        <v>67</v>
      </c>
      <c r="AB278" s="1">
        <v>92</v>
      </c>
      <c r="AC278" s="1">
        <v>215</v>
      </c>
      <c r="AD278" s="1">
        <v>323</v>
      </c>
      <c r="AE278" s="1">
        <v>668</v>
      </c>
      <c r="AF278" s="1">
        <v>0</v>
      </c>
      <c r="AG278" s="1">
        <v>1506</v>
      </c>
      <c r="AH278" s="1">
        <v>0</v>
      </c>
      <c r="AI278" s="1">
        <v>20</v>
      </c>
      <c r="AJ278" s="1">
        <v>0</v>
      </c>
      <c r="AK278" s="1">
        <v>31</v>
      </c>
      <c r="AL278" s="1">
        <v>0</v>
      </c>
      <c r="AM278" s="1">
        <v>125</v>
      </c>
      <c r="AN278" s="1">
        <v>0</v>
      </c>
      <c r="AO278" s="1">
        <v>188</v>
      </c>
      <c r="AP278" s="1">
        <v>0</v>
      </c>
      <c r="AQ278" s="1">
        <v>746</v>
      </c>
      <c r="AR278" s="1">
        <v>0</v>
      </c>
      <c r="AS278" s="1">
        <v>1450</v>
      </c>
      <c r="AT278" s="1">
        <v>0</v>
      </c>
      <c r="AU278" s="1">
        <v>5193</v>
      </c>
      <c r="AV278" s="1">
        <v>0</v>
      </c>
      <c r="AW278" s="1">
        <v>778</v>
      </c>
      <c r="AX278" s="1">
        <v>0</v>
      </c>
      <c r="AY278" s="1">
        <v>784</v>
      </c>
      <c r="AZ278" s="1">
        <v>0</v>
      </c>
      <c r="BA278" s="1">
        <v>0</v>
      </c>
    </row>
    <row r="279" spans="1:103">
      <c r="A279" s="19">
        <v>70004</v>
      </c>
      <c r="B279" s="1">
        <v>2024</v>
      </c>
      <c r="C279" s="1">
        <v>18267</v>
      </c>
      <c r="D279" s="1">
        <v>0</v>
      </c>
      <c r="E279" s="1">
        <v>0</v>
      </c>
      <c r="F279" s="1">
        <v>25</v>
      </c>
      <c r="G279" s="1">
        <v>382</v>
      </c>
      <c r="H279" s="1">
        <v>577</v>
      </c>
      <c r="I279" s="1">
        <v>1371</v>
      </c>
      <c r="J279" s="1">
        <v>161</v>
      </c>
      <c r="K279" s="1">
        <v>8</v>
      </c>
      <c r="L279" s="1">
        <v>0</v>
      </c>
      <c r="M279" s="1">
        <v>0</v>
      </c>
      <c r="N279" s="1">
        <v>0</v>
      </c>
      <c r="O279" s="1">
        <v>119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338</v>
      </c>
      <c r="V279" s="1">
        <v>0</v>
      </c>
      <c r="W279" s="1">
        <v>456</v>
      </c>
      <c r="X279" s="1">
        <v>0</v>
      </c>
      <c r="Y279" s="1">
        <v>958</v>
      </c>
      <c r="Z279" s="1">
        <v>0</v>
      </c>
      <c r="AA279" s="1">
        <v>0</v>
      </c>
      <c r="AB279" s="1">
        <v>0</v>
      </c>
      <c r="AC279" s="1">
        <v>557</v>
      </c>
      <c r="AD279" s="1">
        <v>0</v>
      </c>
      <c r="AE279" s="1">
        <v>171</v>
      </c>
      <c r="AF279" s="1">
        <v>0</v>
      </c>
      <c r="AG279" s="1">
        <v>993</v>
      </c>
      <c r="AH279" s="1">
        <v>0</v>
      </c>
      <c r="AI279" s="1">
        <v>305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175</v>
      </c>
      <c r="AP279" s="1">
        <v>0</v>
      </c>
      <c r="AQ279" s="1">
        <v>2879</v>
      </c>
      <c r="AR279" s="1">
        <v>0</v>
      </c>
      <c r="AS279" s="1">
        <v>1661</v>
      </c>
      <c r="AT279" s="1">
        <v>0</v>
      </c>
      <c r="AU279" s="1">
        <v>5385</v>
      </c>
      <c r="AV279" s="1">
        <v>0</v>
      </c>
      <c r="AW279" s="1">
        <v>1371</v>
      </c>
      <c r="AX279" s="1">
        <v>0</v>
      </c>
      <c r="AY279" s="1">
        <v>333</v>
      </c>
      <c r="AZ279" s="1">
        <v>0</v>
      </c>
      <c r="BA279" s="1">
        <v>42</v>
      </c>
    </row>
    <row r="280" spans="1:103">
      <c r="A280" s="19">
        <v>71001</v>
      </c>
      <c r="B280" s="1">
        <v>2024</v>
      </c>
      <c r="C280" s="1">
        <v>40254</v>
      </c>
      <c r="D280" s="1">
        <v>731</v>
      </c>
      <c r="E280" s="1">
        <v>0</v>
      </c>
      <c r="F280" s="1">
        <v>187</v>
      </c>
      <c r="G280" s="1">
        <v>520</v>
      </c>
      <c r="H280" s="1">
        <v>3753</v>
      </c>
      <c r="I280" s="1">
        <v>6360</v>
      </c>
      <c r="J280" s="1">
        <v>784</v>
      </c>
      <c r="K280" s="1">
        <v>214</v>
      </c>
      <c r="L280" s="1">
        <v>0</v>
      </c>
      <c r="M280" s="1">
        <v>247</v>
      </c>
      <c r="N280" s="1">
        <v>159</v>
      </c>
      <c r="O280" s="1">
        <v>1283</v>
      </c>
      <c r="P280" s="1">
        <v>141</v>
      </c>
      <c r="Q280" s="1">
        <v>1533</v>
      </c>
      <c r="R280" s="1">
        <v>76</v>
      </c>
      <c r="S280" s="1">
        <v>385</v>
      </c>
      <c r="T280" s="1">
        <v>0</v>
      </c>
      <c r="U280" s="1">
        <v>1329</v>
      </c>
      <c r="V280" s="1">
        <v>0</v>
      </c>
      <c r="W280" s="1">
        <v>2155</v>
      </c>
      <c r="X280" s="1">
        <v>0</v>
      </c>
      <c r="Y280" s="1">
        <v>1893</v>
      </c>
      <c r="Z280" s="1">
        <v>0</v>
      </c>
      <c r="AA280" s="1">
        <v>193</v>
      </c>
      <c r="AB280" s="1">
        <v>68</v>
      </c>
      <c r="AC280" s="1">
        <v>1431</v>
      </c>
      <c r="AD280" s="1">
        <v>140</v>
      </c>
      <c r="AE280" s="1">
        <v>1923</v>
      </c>
      <c r="AF280" s="1">
        <v>0</v>
      </c>
      <c r="AG280" s="1">
        <v>3175</v>
      </c>
      <c r="AH280" s="1">
        <v>0</v>
      </c>
      <c r="AI280" s="1">
        <v>91</v>
      </c>
      <c r="AJ280" s="1">
        <v>0</v>
      </c>
      <c r="AK280" s="1">
        <v>112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827</v>
      </c>
      <c r="AR280" s="1">
        <v>0</v>
      </c>
      <c r="AS280" s="1">
        <v>3261</v>
      </c>
      <c r="AT280" s="1">
        <v>0</v>
      </c>
      <c r="AU280" s="1">
        <v>5018</v>
      </c>
      <c r="AV280" s="1">
        <v>0</v>
      </c>
      <c r="AW280" s="1">
        <v>604</v>
      </c>
      <c r="AX280" s="1">
        <v>0</v>
      </c>
      <c r="AY280" s="1">
        <v>1661</v>
      </c>
      <c r="AZ280" s="1">
        <v>0</v>
      </c>
      <c r="BA280" s="1">
        <v>0</v>
      </c>
    </row>
    <row r="281" spans="1:103">
      <c r="A281" s="19">
        <v>71002</v>
      </c>
      <c r="B281" s="1">
        <v>2024</v>
      </c>
      <c r="C281" s="1">
        <v>23702</v>
      </c>
      <c r="D281" s="1">
        <v>0</v>
      </c>
      <c r="E281" s="1">
        <v>0</v>
      </c>
      <c r="F281" s="1">
        <v>128</v>
      </c>
      <c r="G281" s="1">
        <v>964</v>
      </c>
      <c r="H281" s="1">
        <v>3471</v>
      </c>
      <c r="I281" s="1">
        <v>1310</v>
      </c>
      <c r="J281" s="1">
        <v>1263</v>
      </c>
      <c r="K281" s="1">
        <v>634</v>
      </c>
      <c r="L281" s="1">
        <v>80</v>
      </c>
      <c r="M281" s="1">
        <v>165</v>
      </c>
      <c r="N281" s="1">
        <v>182</v>
      </c>
      <c r="O281" s="1">
        <v>293</v>
      </c>
      <c r="P281" s="1">
        <v>155</v>
      </c>
      <c r="Q281" s="1">
        <v>8</v>
      </c>
      <c r="R281" s="1">
        <v>40</v>
      </c>
      <c r="S281" s="1">
        <v>782</v>
      </c>
      <c r="T281" s="1">
        <v>57</v>
      </c>
      <c r="U281" s="1">
        <v>749</v>
      </c>
      <c r="V281" s="1">
        <v>279</v>
      </c>
      <c r="W281" s="1">
        <v>944</v>
      </c>
      <c r="X281" s="1">
        <v>122</v>
      </c>
      <c r="Y281" s="1">
        <v>241</v>
      </c>
      <c r="Z281" s="1">
        <v>40</v>
      </c>
      <c r="AA281" s="1">
        <v>347</v>
      </c>
      <c r="AB281" s="1">
        <v>5</v>
      </c>
      <c r="AC281" s="1">
        <v>446</v>
      </c>
      <c r="AD281" s="1">
        <v>254</v>
      </c>
      <c r="AE281" s="1">
        <v>507</v>
      </c>
      <c r="AF281" s="1">
        <v>85</v>
      </c>
      <c r="AG281" s="1">
        <v>316</v>
      </c>
      <c r="AH281" s="1">
        <v>0</v>
      </c>
      <c r="AI281" s="1">
        <v>23</v>
      </c>
      <c r="AJ281" s="1">
        <v>136</v>
      </c>
      <c r="AK281" s="1">
        <v>625</v>
      </c>
      <c r="AL281" s="1">
        <v>0</v>
      </c>
      <c r="AM281" s="1">
        <v>284</v>
      </c>
      <c r="AN281" s="1">
        <v>0</v>
      </c>
      <c r="AO281" s="1">
        <v>451</v>
      </c>
      <c r="AP281" s="1">
        <v>0</v>
      </c>
      <c r="AQ281" s="1">
        <v>2746</v>
      </c>
      <c r="AR281" s="1">
        <v>0</v>
      </c>
      <c r="AS281" s="1">
        <v>1689</v>
      </c>
      <c r="AT281" s="1">
        <v>0</v>
      </c>
      <c r="AU281" s="1">
        <v>1179</v>
      </c>
      <c r="AV281" s="1">
        <v>0</v>
      </c>
      <c r="AW281" s="1">
        <v>803</v>
      </c>
      <c r="AX281" s="1">
        <v>0</v>
      </c>
      <c r="AY281" s="1">
        <v>1276</v>
      </c>
      <c r="AZ281" s="1">
        <v>0</v>
      </c>
      <c r="BA281" s="1">
        <v>623</v>
      </c>
    </row>
    <row r="282" spans="1:103">
      <c r="A282" s="19">
        <v>71004</v>
      </c>
      <c r="B282" s="1">
        <v>2024</v>
      </c>
      <c r="C282" s="1">
        <v>27760</v>
      </c>
      <c r="D282" s="1">
        <v>0</v>
      </c>
      <c r="E282" s="1">
        <v>0</v>
      </c>
      <c r="F282" s="1">
        <v>125</v>
      </c>
      <c r="G282" s="1">
        <v>144</v>
      </c>
      <c r="H282" s="1">
        <v>1701</v>
      </c>
      <c r="I282" s="1">
        <v>904</v>
      </c>
      <c r="J282" s="1">
        <v>774</v>
      </c>
      <c r="K282" s="1">
        <v>171</v>
      </c>
      <c r="L282" s="1">
        <v>0</v>
      </c>
      <c r="M282" s="1">
        <v>0</v>
      </c>
      <c r="N282" s="1">
        <v>28</v>
      </c>
      <c r="O282" s="1">
        <v>108</v>
      </c>
      <c r="P282" s="1">
        <v>323</v>
      </c>
      <c r="Q282" s="1">
        <v>229</v>
      </c>
      <c r="R282" s="1">
        <v>140</v>
      </c>
      <c r="S282" s="1">
        <v>348</v>
      </c>
      <c r="T282" s="1">
        <v>0</v>
      </c>
      <c r="U282" s="1">
        <v>0</v>
      </c>
      <c r="V282" s="1">
        <v>250</v>
      </c>
      <c r="W282" s="1">
        <v>2883</v>
      </c>
      <c r="X282" s="1">
        <v>0</v>
      </c>
      <c r="Y282" s="1">
        <v>681</v>
      </c>
      <c r="Z282" s="1">
        <v>16</v>
      </c>
      <c r="AA282" s="1">
        <v>348</v>
      </c>
      <c r="AB282" s="1">
        <v>0</v>
      </c>
      <c r="AC282" s="1">
        <v>91</v>
      </c>
      <c r="AD282" s="1">
        <v>196</v>
      </c>
      <c r="AE282" s="1">
        <v>1181</v>
      </c>
      <c r="AF282" s="1">
        <v>92</v>
      </c>
      <c r="AG282" s="1">
        <v>566</v>
      </c>
      <c r="AH282" s="1">
        <v>0</v>
      </c>
      <c r="AI282" s="1">
        <v>407</v>
      </c>
      <c r="AJ282" s="1">
        <v>0</v>
      </c>
      <c r="AK282" s="1">
        <v>365</v>
      </c>
      <c r="AL282" s="1">
        <v>0</v>
      </c>
      <c r="AM282" s="1">
        <v>1758</v>
      </c>
      <c r="AN282" s="1">
        <v>0</v>
      </c>
      <c r="AO282" s="1">
        <v>1192</v>
      </c>
      <c r="AP282" s="1">
        <v>0</v>
      </c>
      <c r="AQ282" s="1">
        <v>1878</v>
      </c>
      <c r="AR282" s="1">
        <v>0</v>
      </c>
      <c r="AS282" s="1">
        <v>4284</v>
      </c>
      <c r="AT282" s="1">
        <v>0</v>
      </c>
      <c r="AU282" s="1">
        <v>3349</v>
      </c>
      <c r="AV282" s="1">
        <v>0</v>
      </c>
      <c r="AW282" s="1">
        <v>1421</v>
      </c>
      <c r="AX282" s="1">
        <v>0</v>
      </c>
      <c r="AY282" s="1">
        <v>1807</v>
      </c>
      <c r="AZ282" s="1">
        <v>0</v>
      </c>
      <c r="BA282" s="1">
        <v>0</v>
      </c>
    </row>
    <row r="283" spans="1:103">
      <c r="A283" s="19">
        <v>72001</v>
      </c>
      <c r="B283" s="1">
        <v>2024</v>
      </c>
      <c r="C283" s="1">
        <v>11648</v>
      </c>
      <c r="D283" s="1">
        <v>0</v>
      </c>
      <c r="E283" s="1">
        <v>0</v>
      </c>
      <c r="F283" s="1">
        <v>115</v>
      </c>
      <c r="G283" s="1">
        <v>57</v>
      </c>
      <c r="H283" s="1">
        <v>431</v>
      </c>
      <c r="I283" s="1">
        <v>828</v>
      </c>
      <c r="J283" s="1">
        <v>89</v>
      </c>
      <c r="K283" s="1">
        <v>0</v>
      </c>
      <c r="L283" s="1">
        <v>0</v>
      </c>
      <c r="M283" s="1">
        <v>91</v>
      </c>
      <c r="N283" s="1">
        <v>0</v>
      </c>
      <c r="O283" s="1">
        <v>556</v>
      </c>
      <c r="P283" s="1">
        <v>0</v>
      </c>
      <c r="Q283" s="1">
        <v>415</v>
      </c>
      <c r="R283" s="1">
        <v>0</v>
      </c>
      <c r="S283" s="1">
        <v>15</v>
      </c>
      <c r="T283" s="1">
        <v>91</v>
      </c>
      <c r="U283" s="1">
        <v>382</v>
      </c>
      <c r="V283" s="1">
        <v>0</v>
      </c>
      <c r="W283" s="1">
        <v>202</v>
      </c>
      <c r="X283" s="1">
        <v>86</v>
      </c>
      <c r="Y283" s="1">
        <v>868</v>
      </c>
      <c r="Z283" s="1">
        <v>0</v>
      </c>
      <c r="AA283" s="1">
        <v>86</v>
      </c>
      <c r="AB283" s="1">
        <v>0</v>
      </c>
      <c r="AC283" s="1">
        <v>14</v>
      </c>
      <c r="AD283" s="1">
        <v>0</v>
      </c>
      <c r="AE283" s="1">
        <v>578</v>
      </c>
      <c r="AF283" s="1">
        <v>0</v>
      </c>
      <c r="AG283" s="1">
        <v>971</v>
      </c>
      <c r="AH283" s="1">
        <v>0</v>
      </c>
      <c r="AI283" s="1">
        <v>0</v>
      </c>
      <c r="AJ283" s="1">
        <v>0</v>
      </c>
      <c r="AK283" s="1">
        <v>7</v>
      </c>
      <c r="AL283" s="1">
        <v>0</v>
      </c>
      <c r="AM283" s="1">
        <v>124</v>
      </c>
      <c r="AN283" s="1">
        <v>0</v>
      </c>
      <c r="AO283" s="1">
        <v>130</v>
      </c>
      <c r="AP283" s="1">
        <v>0</v>
      </c>
      <c r="AQ283" s="1">
        <v>1110</v>
      </c>
      <c r="AR283" s="1">
        <v>0</v>
      </c>
      <c r="AS283" s="1">
        <v>1775</v>
      </c>
      <c r="AT283" s="1">
        <v>0</v>
      </c>
      <c r="AU283" s="1">
        <v>2338</v>
      </c>
      <c r="AV283" s="1">
        <v>0</v>
      </c>
      <c r="AW283" s="1">
        <v>144</v>
      </c>
      <c r="AX283" s="1">
        <v>0</v>
      </c>
      <c r="AY283" s="1">
        <v>145</v>
      </c>
      <c r="AZ283" s="1">
        <v>0</v>
      </c>
      <c r="BA283" s="1">
        <v>0</v>
      </c>
    </row>
    <row r="284" spans="1:103">
      <c r="A284" s="19">
        <v>73001</v>
      </c>
      <c r="B284" s="1">
        <v>2024</v>
      </c>
      <c r="C284" s="1">
        <v>10229</v>
      </c>
      <c r="D284" s="1">
        <v>0</v>
      </c>
      <c r="E284" s="1">
        <v>0</v>
      </c>
      <c r="F284" s="1">
        <v>0</v>
      </c>
      <c r="G284" s="1">
        <v>0</v>
      </c>
      <c r="H284" s="1">
        <v>438</v>
      </c>
      <c r="I284" s="1">
        <v>151</v>
      </c>
      <c r="J284" s="1">
        <v>263</v>
      </c>
      <c r="K284" s="1">
        <v>8</v>
      </c>
      <c r="L284" s="1">
        <v>0</v>
      </c>
      <c r="M284" s="1">
        <v>0</v>
      </c>
      <c r="N284" s="1">
        <v>0</v>
      </c>
      <c r="O284" s="1">
        <v>153</v>
      </c>
      <c r="P284" s="1">
        <v>38</v>
      </c>
      <c r="Q284" s="1">
        <v>841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275</v>
      </c>
      <c r="X284" s="1">
        <v>0</v>
      </c>
      <c r="Y284" s="1">
        <v>457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74</v>
      </c>
      <c r="AH284" s="1">
        <v>246</v>
      </c>
      <c r="AI284" s="1">
        <v>216</v>
      </c>
      <c r="AJ284" s="1">
        <v>0</v>
      </c>
      <c r="AK284" s="1">
        <v>213</v>
      </c>
      <c r="AL284" s="1">
        <v>0</v>
      </c>
      <c r="AM284" s="1">
        <v>396</v>
      </c>
      <c r="AN284" s="1">
        <v>0</v>
      </c>
      <c r="AO284" s="1">
        <v>800</v>
      </c>
      <c r="AP284" s="1">
        <v>0</v>
      </c>
      <c r="AQ284" s="1">
        <v>1448</v>
      </c>
      <c r="AR284" s="1">
        <v>0</v>
      </c>
      <c r="AS284" s="1">
        <v>1128</v>
      </c>
      <c r="AT284" s="1">
        <v>0</v>
      </c>
      <c r="AU284" s="1">
        <v>1699</v>
      </c>
      <c r="AV284" s="1">
        <v>0</v>
      </c>
      <c r="AW284" s="1">
        <v>1011</v>
      </c>
      <c r="AX284" s="1">
        <v>0</v>
      </c>
      <c r="AY284" s="1">
        <v>374</v>
      </c>
      <c r="AZ284" s="1">
        <v>0</v>
      </c>
      <c r="BA284" s="1">
        <v>0</v>
      </c>
    </row>
    <row r="285" spans="1:103">
      <c r="A285" s="19">
        <v>73002</v>
      </c>
      <c r="B285" s="1">
        <v>2024</v>
      </c>
      <c r="C285" s="1">
        <v>24948</v>
      </c>
      <c r="D285" s="1">
        <v>0</v>
      </c>
      <c r="E285" s="1">
        <v>0</v>
      </c>
      <c r="F285" s="1">
        <v>221</v>
      </c>
      <c r="G285" s="1">
        <v>264</v>
      </c>
      <c r="H285" s="1">
        <v>1297</v>
      </c>
      <c r="I285" s="1">
        <v>1540</v>
      </c>
      <c r="J285" s="1">
        <v>828</v>
      </c>
      <c r="K285" s="1">
        <v>372</v>
      </c>
      <c r="L285" s="1">
        <v>0</v>
      </c>
      <c r="M285" s="1">
        <v>37</v>
      </c>
      <c r="N285" s="1">
        <v>100</v>
      </c>
      <c r="O285" s="1">
        <v>360</v>
      </c>
      <c r="P285" s="1">
        <v>3</v>
      </c>
      <c r="Q285" s="1">
        <v>299</v>
      </c>
      <c r="R285" s="1">
        <v>0</v>
      </c>
      <c r="S285" s="1">
        <v>112</v>
      </c>
      <c r="T285" s="1">
        <v>0</v>
      </c>
      <c r="U285" s="1">
        <v>159</v>
      </c>
      <c r="V285" s="1">
        <v>0</v>
      </c>
      <c r="W285" s="1">
        <v>597</v>
      </c>
      <c r="X285" s="1">
        <v>30</v>
      </c>
      <c r="Y285" s="1">
        <v>1027</v>
      </c>
      <c r="Z285" s="1">
        <v>0</v>
      </c>
      <c r="AA285" s="1">
        <v>295</v>
      </c>
      <c r="AB285" s="1">
        <v>0</v>
      </c>
      <c r="AC285" s="1">
        <v>338</v>
      </c>
      <c r="AD285" s="1">
        <v>152</v>
      </c>
      <c r="AE285" s="1">
        <v>767</v>
      </c>
      <c r="AF285" s="1">
        <v>84</v>
      </c>
      <c r="AG285" s="1">
        <v>1077</v>
      </c>
      <c r="AH285" s="1">
        <v>0</v>
      </c>
      <c r="AI285" s="1">
        <v>18</v>
      </c>
      <c r="AJ285" s="1">
        <v>0</v>
      </c>
      <c r="AK285" s="1">
        <v>372</v>
      </c>
      <c r="AL285" s="1">
        <v>0</v>
      </c>
      <c r="AM285" s="1">
        <v>1322</v>
      </c>
      <c r="AN285" s="1">
        <v>0</v>
      </c>
      <c r="AO285" s="1">
        <v>639</v>
      </c>
      <c r="AP285" s="1">
        <v>0</v>
      </c>
      <c r="AQ285" s="1">
        <v>1381</v>
      </c>
      <c r="AR285" s="1">
        <v>0</v>
      </c>
      <c r="AS285" s="1">
        <v>4534</v>
      </c>
      <c r="AT285" s="1">
        <v>0</v>
      </c>
      <c r="AU285" s="1">
        <v>4764</v>
      </c>
      <c r="AV285" s="1">
        <v>0</v>
      </c>
      <c r="AW285" s="1">
        <v>1000</v>
      </c>
      <c r="AX285" s="1">
        <v>0</v>
      </c>
      <c r="AY285" s="1">
        <v>959</v>
      </c>
      <c r="AZ285" s="1">
        <v>0</v>
      </c>
      <c r="BA285" s="1">
        <v>0</v>
      </c>
    </row>
    <row r="286" spans="1:103">
      <c r="A286" s="19">
        <v>73003</v>
      </c>
      <c r="B286" s="1">
        <v>2024</v>
      </c>
      <c r="C286" s="1">
        <v>19922</v>
      </c>
      <c r="D286" s="1">
        <v>0</v>
      </c>
      <c r="E286" s="1">
        <v>366</v>
      </c>
      <c r="F286" s="1">
        <v>109</v>
      </c>
      <c r="G286" s="1">
        <v>232</v>
      </c>
      <c r="H286" s="1">
        <v>1884</v>
      </c>
      <c r="I286" s="1">
        <v>651</v>
      </c>
      <c r="J286" s="1">
        <v>482</v>
      </c>
      <c r="K286" s="1">
        <v>372</v>
      </c>
      <c r="L286" s="1">
        <v>0</v>
      </c>
      <c r="M286" s="1">
        <v>0</v>
      </c>
      <c r="N286" s="1">
        <v>0</v>
      </c>
      <c r="O286" s="1">
        <v>11</v>
      </c>
      <c r="P286" s="1">
        <v>0</v>
      </c>
      <c r="Q286" s="1">
        <v>86</v>
      </c>
      <c r="R286" s="1">
        <v>44</v>
      </c>
      <c r="S286" s="1">
        <v>91</v>
      </c>
      <c r="T286" s="1">
        <v>1</v>
      </c>
      <c r="U286" s="1">
        <v>316</v>
      </c>
      <c r="V286" s="1">
        <v>0</v>
      </c>
      <c r="W286" s="1">
        <v>1274</v>
      </c>
      <c r="X286" s="1">
        <v>0</v>
      </c>
      <c r="Y286" s="1">
        <v>573</v>
      </c>
      <c r="Z286" s="1">
        <v>0</v>
      </c>
      <c r="AA286" s="1">
        <v>348</v>
      </c>
      <c r="AB286" s="1">
        <v>0</v>
      </c>
      <c r="AC286" s="1">
        <v>30</v>
      </c>
      <c r="AD286" s="1">
        <v>141</v>
      </c>
      <c r="AE286" s="1">
        <v>1138</v>
      </c>
      <c r="AF286" s="1">
        <v>34</v>
      </c>
      <c r="AG286" s="1">
        <v>654</v>
      </c>
      <c r="AH286" s="1">
        <v>0</v>
      </c>
      <c r="AI286" s="1">
        <v>199</v>
      </c>
      <c r="AJ286" s="1">
        <v>80</v>
      </c>
      <c r="AK286" s="1">
        <v>381</v>
      </c>
      <c r="AL286" s="1">
        <v>0</v>
      </c>
      <c r="AM286" s="1">
        <v>880</v>
      </c>
      <c r="AN286" s="1">
        <v>0</v>
      </c>
      <c r="AO286" s="1">
        <v>642</v>
      </c>
      <c r="AP286" s="1">
        <v>0</v>
      </c>
      <c r="AQ286" s="1">
        <v>1492</v>
      </c>
      <c r="AR286" s="1">
        <v>0</v>
      </c>
      <c r="AS286" s="1">
        <v>2567</v>
      </c>
      <c r="AT286" s="1">
        <v>0</v>
      </c>
      <c r="AU286" s="1">
        <v>2518</v>
      </c>
      <c r="AV286" s="1">
        <v>0</v>
      </c>
      <c r="AW286" s="1">
        <v>456</v>
      </c>
      <c r="AX286" s="1">
        <v>0</v>
      </c>
      <c r="AY286" s="1">
        <v>1870</v>
      </c>
      <c r="AZ286" s="1">
        <v>0</v>
      </c>
      <c r="BA286" s="1">
        <v>0</v>
      </c>
    </row>
    <row r="287" spans="1:103">
      <c r="A287" s="19">
        <v>73004</v>
      </c>
      <c r="B287" s="1">
        <v>2024</v>
      </c>
      <c r="C287" s="1">
        <v>13222</v>
      </c>
      <c r="D287" s="1">
        <v>0</v>
      </c>
      <c r="E287" s="1">
        <v>0</v>
      </c>
      <c r="F287" s="1">
        <v>70</v>
      </c>
      <c r="G287" s="1">
        <v>25</v>
      </c>
      <c r="H287" s="1">
        <v>373</v>
      </c>
      <c r="I287" s="1">
        <v>425</v>
      </c>
      <c r="J287" s="1">
        <v>88</v>
      </c>
      <c r="K287" s="1">
        <v>27</v>
      </c>
      <c r="L287" s="1">
        <v>0</v>
      </c>
      <c r="M287" s="1">
        <v>59</v>
      </c>
      <c r="N287" s="1">
        <v>30</v>
      </c>
      <c r="O287" s="1">
        <v>340</v>
      </c>
      <c r="P287" s="1">
        <v>0</v>
      </c>
      <c r="Q287" s="1">
        <v>404</v>
      </c>
      <c r="R287" s="1">
        <v>23</v>
      </c>
      <c r="S287" s="1">
        <v>184</v>
      </c>
      <c r="T287" s="1">
        <v>0</v>
      </c>
      <c r="U287" s="1">
        <v>116</v>
      </c>
      <c r="V287" s="1">
        <v>0</v>
      </c>
      <c r="W287" s="1">
        <v>1243</v>
      </c>
      <c r="X287" s="1">
        <v>0</v>
      </c>
      <c r="Y287" s="1">
        <v>475</v>
      </c>
      <c r="Z287" s="1">
        <v>0</v>
      </c>
      <c r="AA287" s="1">
        <v>271</v>
      </c>
      <c r="AB287" s="1">
        <v>0</v>
      </c>
      <c r="AC287" s="1">
        <v>0</v>
      </c>
      <c r="AD287" s="1">
        <v>0</v>
      </c>
      <c r="AE287" s="1">
        <v>354</v>
      </c>
      <c r="AF287" s="1">
        <v>0</v>
      </c>
      <c r="AG287" s="1">
        <v>306</v>
      </c>
      <c r="AH287" s="1">
        <v>0</v>
      </c>
      <c r="AI287" s="1">
        <v>360</v>
      </c>
      <c r="AJ287" s="1">
        <v>0</v>
      </c>
      <c r="AK287" s="1">
        <v>700</v>
      </c>
      <c r="AL287" s="1">
        <v>0</v>
      </c>
      <c r="AM287" s="1">
        <v>272</v>
      </c>
      <c r="AN287" s="1">
        <v>0</v>
      </c>
      <c r="AO287" s="1">
        <v>419</v>
      </c>
      <c r="AP287" s="1">
        <v>0</v>
      </c>
      <c r="AQ287" s="1">
        <v>517</v>
      </c>
      <c r="AR287" s="1">
        <v>0</v>
      </c>
      <c r="AS287" s="1">
        <v>1110</v>
      </c>
      <c r="AT287" s="1">
        <v>0</v>
      </c>
      <c r="AU287" s="1">
        <v>2972</v>
      </c>
      <c r="AV287" s="1">
        <v>0</v>
      </c>
      <c r="AW287" s="1">
        <v>1229</v>
      </c>
      <c r="AX287" s="1">
        <v>0</v>
      </c>
      <c r="AY287" s="1">
        <v>825</v>
      </c>
      <c r="AZ287" s="1">
        <v>0</v>
      </c>
      <c r="BA287" s="1">
        <v>5</v>
      </c>
    </row>
    <row r="288" spans="1:103">
      <c r="A288" s="19">
        <v>73005</v>
      </c>
      <c r="B288" s="1">
        <v>2024</v>
      </c>
      <c r="C288" s="1">
        <v>21536</v>
      </c>
      <c r="D288" s="1">
        <v>0</v>
      </c>
      <c r="E288" s="1">
        <v>0</v>
      </c>
      <c r="F288" s="1">
        <v>0</v>
      </c>
      <c r="G288" s="1">
        <v>18</v>
      </c>
      <c r="H288" s="1">
        <v>295</v>
      </c>
      <c r="I288" s="1">
        <v>79</v>
      </c>
      <c r="J288" s="1">
        <v>183</v>
      </c>
      <c r="K288" s="1">
        <v>27</v>
      </c>
      <c r="L288" s="1">
        <v>0</v>
      </c>
      <c r="M288" s="1">
        <v>79</v>
      </c>
      <c r="N288" s="1">
        <v>0</v>
      </c>
      <c r="O288" s="1">
        <v>748</v>
      </c>
      <c r="P288" s="1">
        <v>0</v>
      </c>
      <c r="Q288" s="1">
        <v>262</v>
      </c>
      <c r="R288" s="1">
        <v>0</v>
      </c>
      <c r="S288" s="1">
        <v>339</v>
      </c>
      <c r="T288" s="1">
        <v>0</v>
      </c>
      <c r="U288" s="1">
        <v>398</v>
      </c>
      <c r="V288" s="1">
        <v>0</v>
      </c>
      <c r="W288" s="1">
        <v>1354</v>
      </c>
      <c r="X288" s="1">
        <v>0</v>
      </c>
      <c r="Y288" s="1">
        <v>1597</v>
      </c>
      <c r="Z288" s="1">
        <v>0</v>
      </c>
      <c r="AA288" s="1">
        <v>219</v>
      </c>
      <c r="AB288" s="1">
        <v>0</v>
      </c>
      <c r="AC288" s="1">
        <v>365</v>
      </c>
      <c r="AD288" s="1">
        <v>91</v>
      </c>
      <c r="AE288" s="1">
        <v>241</v>
      </c>
      <c r="AF288" s="1">
        <v>0</v>
      </c>
      <c r="AG288" s="1">
        <v>234</v>
      </c>
      <c r="AH288" s="1">
        <v>0</v>
      </c>
      <c r="AI288" s="1">
        <v>271</v>
      </c>
      <c r="AJ288" s="1">
        <v>20</v>
      </c>
      <c r="AK288" s="1">
        <v>1671</v>
      </c>
      <c r="AL288" s="1">
        <v>0</v>
      </c>
      <c r="AM288" s="1">
        <v>2856</v>
      </c>
      <c r="AN288" s="1">
        <v>0</v>
      </c>
      <c r="AO288" s="1">
        <v>1492</v>
      </c>
      <c r="AP288" s="1">
        <v>0</v>
      </c>
      <c r="AQ288" s="1">
        <v>459</v>
      </c>
      <c r="AR288" s="1">
        <v>0</v>
      </c>
      <c r="AS288" s="1">
        <v>1152</v>
      </c>
      <c r="AT288" s="1">
        <v>543</v>
      </c>
      <c r="AU288" s="1">
        <v>2888</v>
      </c>
      <c r="AV288" s="1">
        <v>0</v>
      </c>
      <c r="AW288" s="1">
        <v>1530</v>
      </c>
      <c r="AX288" s="1">
        <v>0</v>
      </c>
      <c r="AY288" s="1">
        <v>2106</v>
      </c>
      <c r="AZ288" s="1">
        <v>0</v>
      </c>
      <c r="BA288" s="1">
        <v>19</v>
      </c>
    </row>
    <row r="289" spans="1:53">
      <c r="A289" s="19">
        <v>73006</v>
      </c>
      <c r="B289" s="1">
        <v>2024</v>
      </c>
      <c r="C289" s="1">
        <v>12241</v>
      </c>
      <c r="D289" s="1">
        <v>0</v>
      </c>
      <c r="E289" s="1">
        <v>0</v>
      </c>
      <c r="F289" s="1">
        <v>0</v>
      </c>
      <c r="G289" s="1">
        <v>158</v>
      </c>
      <c r="H289" s="1">
        <v>1023</v>
      </c>
      <c r="I289" s="1">
        <v>1168</v>
      </c>
      <c r="J289" s="1">
        <v>822</v>
      </c>
      <c r="K289" s="1">
        <v>169</v>
      </c>
      <c r="L289" s="1">
        <v>0</v>
      </c>
      <c r="M289" s="1">
        <v>62</v>
      </c>
      <c r="N289" s="1">
        <v>0</v>
      </c>
      <c r="O289" s="1">
        <v>311</v>
      </c>
      <c r="P289" s="1">
        <v>0</v>
      </c>
      <c r="Q289" s="1">
        <v>122</v>
      </c>
      <c r="R289" s="1">
        <v>0</v>
      </c>
      <c r="S289" s="1">
        <v>464</v>
      </c>
      <c r="T289" s="1">
        <v>0</v>
      </c>
      <c r="U289" s="1">
        <v>63</v>
      </c>
      <c r="V289" s="1">
        <v>0</v>
      </c>
      <c r="W289" s="1">
        <v>926</v>
      </c>
      <c r="X289" s="1">
        <v>0</v>
      </c>
      <c r="Y289" s="1">
        <v>323</v>
      </c>
      <c r="Z289" s="1">
        <v>0</v>
      </c>
      <c r="AA289" s="1">
        <v>179</v>
      </c>
      <c r="AB289" s="1">
        <v>0</v>
      </c>
      <c r="AC289" s="1">
        <v>21</v>
      </c>
      <c r="AD289" s="1">
        <v>0</v>
      </c>
      <c r="AE289" s="1">
        <v>1063</v>
      </c>
      <c r="AF289" s="1">
        <v>0</v>
      </c>
      <c r="AG289" s="1">
        <v>432</v>
      </c>
      <c r="AH289" s="1">
        <v>0</v>
      </c>
      <c r="AI289" s="1">
        <v>56</v>
      </c>
      <c r="AJ289" s="1">
        <v>0</v>
      </c>
      <c r="AK289" s="1">
        <v>595</v>
      </c>
      <c r="AL289" s="1">
        <v>0</v>
      </c>
      <c r="AM289" s="1">
        <v>230</v>
      </c>
      <c r="AN289" s="1">
        <v>0</v>
      </c>
      <c r="AO289" s="1">
        <v>103</v>
      </c>
      <c r="AP289" s="1">
        <v>0</v>
      </c>
      <c r="AQ289" s="1">
        <v>653</v>
      </c>
      <c r="AR289" s="1">
        <v>0</v>
      </c>
      <c r="AS289" s="1">
        <v>781</v>
      </c>
      <c r="AT289" s="1">
        <v>0</v>
      </c>
      <c r="AU289" s="1">
        <v>1542</v>
      </c>
      <c r="AV289" s="1">
        <v>0</v>
      </c>
      <c r="AW289" s="1">
        <v>275</v>
      </c>
      <c r="AX289" s="1">
        <v>0</v>
      </c>
      <c r="AY289" s="1">
        <v>700</v>
      </c>
      <c r="AZ289" s="1">
        <v>0</v>
      </c>
      <c r="BA289" s="1">
        <v>0</v>
      </c>
    </row>
    <row r="290" spans="1:53">
      <c r="A290" s="19">
        <v>73007</v>
      </c>
      <c r="B290" s="1">
        <v>2024</v>
      </c>
      <c r="C290" s="1">
        <v>14696</v>
      </c>
      <c r="D290" s="1">
        <v>0</v>
      </c>
      <c r="E290" s="1">
        <v>0</v>
      </c>
      <c r="F290" s="1">
        <v>298</v>
      </c>
      <c r="G290" s="1">
        <v>172</v>
      </c>
      <c r="H290" s="1">
        <v>478</v>
      </c>
      <c r="I290" s="1">
        <v>569</v>
      </c>
      <c r="J290" s="1">
        <v>250</v>
      </c>
      <c r="K290" s="1">
        <v>41</v>
      </c>
      <c r="L290" s="1">
        <v>0</v>
      </c>
      <c r="M290" s="1">
        <v>39</v>
      </c>
      <c r="N290" s="1">
        <v>0</v>
      </c>
      <c r="O290" s="1">
        <v>343</v>
      </c>
      <c r="P290" s="1">
        <v>0</v>
      </c>
      <c r="Q290" s="1">
        <v>144</v>
      </c>
      <c r="R290" s="1">
        <v>0</v>
      </c>
      <c r="S290" s="1">
        <v>29</v>
      </c>
      <c r="T290" s="1">
        <v>0</v>
      </c>
      <c r="U290" s="1">
        <v>285</v>
      </c>
      <c r="V290" s="1">
        <v>0</v>
      </c>
      <c r="W290" s="1">
        <v>115</v>
      </c>
      <c r="X290" s="1">
        <v>0</v>
      </c>
      <c r="Y290" s="1">
        <v>424</v>
      </c>
      <c r="Z290" s="1">
        <v>0</v>
      </c>
      <c r="AA290" s="1">
        <v>174</v>
      </c>
      <c r="AB290" s="1">
        <v>164</v>
      </c>
      <c r="AC290" s="1">
        <v>33</v>
      </c>
      <c r="AD290" s="1">
        <v>92</v>
      </c>
      <c r="AE290" s="1">
        <v>355</v>
      </c>
      <c r="AF290" s="1">
        <v>181</v>
      </c>
      <c r="AG290" s="1">
        <v>673</v>
      </c>
      <c r="AH290" s="1">
        <v>34</v>
      </c>
      <c r="AI290" s="1">
        <v>377</v>
      </c>
      <c r="AJ290" s="1">
        <v>0</v>
      </c>
      <c r="AK290" s="1">
        <v>177</v>
      </c>
      <c r="AL290" s="1">
        <v>0</v>
      </c>
      <c r="AM290" s="1">
        <v>250</v>
      </c>
      <c r="AN290" s="1">
        <v>0</v>
      </c>
      <c r="AO290" s="1">
        <v>604</v>
      </c>
      <c r="AP290" s="1">
        <v>0</v>
      </c>
      <c r="AQ290" s="1">
        <v>984</v>
      </c>
      <c r="AR290" s="1">
        <v>0</v>
      </c>
      <c r="AS290" s="1">
        <v>763</v>
      </c>
      <c r="AT290" s="1">
        <v>0</v>
      </c>
      <c r="AU290" s="1">
        <v>3486</v>
      </c>
      <c r="AV290" s="1">
        <v>0</v>
      </c>
      <c r="AW290" s="1">
        <v>1363</v>
      </c>
      <c r="AX290" s="1">
        <v>0</v>
      </c>
      <c r="AY290" s="1">
        <v>1799</v>
      </c>
      <c r="AZ290" s="1">
        <v>0</v>
      </c>
      <c r="BA290" s="1">
        <v>0</v>
      </c>
    </row>
    <row r="291" spans="1:53">
      <c r="A291" s="19">
        <v>73009</v>
      </c>
      <c r="B291" s="1">
        <v>2024</v>
      </c>
      <c r="C291" s="1">
        <v>8497</v>
      </c>
      <c r="D291" s="1">
        <v>0</v>
      </c>
      <c r="E291" s="1">
        <v>0</v>
      </c>
      <c r="F291" s="1">
        <v>342</v>
      </c>
      <c r="G291" s="1">
        <v>46</v>
      </c>
      <c r="H291" s="1">
        <v>3226</v>
      </c>
      <c r="I291" s="1">
        <v>971</v>
      </c>
      <c r="J291" s="1">
        <v>3167</v>
      </c>
      <c r="K291" s="1">
        <v>179</v>
      </c>
      <c r="L291" s="1">
        <v>0</v>
      </c>
      <c r="M291" s="1">
        <v>0</v>
      </c>
      <c r="N291" s="1">
        <v>0</v>
      </c>
      <c r="O291" s="1">
        <v>84</v>
      </c>
      <c r="P291" s="1">
        <v>0</v>
      </c>
      <c r="Q291" s="1">
        <v>37</v>
      </c>
      <c r="R291" s="1">
        <v>0</v>
      </c>
      <c r="S291" s="1">
        <v>345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6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9</v>
      </c>
      <c r="AH291" s="1">
        <v>0</v>
      </c>
      <c r="AI291" s="1">
        <v>0</v>
      </c>
      <c r="AJ291" s="1">
        <v>0</v>
      </c>
      <c r="AK291" s="1">
        <v>4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12</v>
      </c>
      <c r="AT291" s="1">
        <v>0</v>
      </c>
      <c r="AU291" s="1">
        <v>0</v>
      </c>
      <c r="AV291" s="1">
        <v>0</v>
      </c>
      <c r="AW291" s="1">
        <v>6</v>
      </c>
      <c r="AX291" s="1">
        <v>0</v>
      </c>
      <c r="AY291" s="1">
        <v>23</v>
      </c>
      <c r="AZ291" s="1">
        <v>0</v>
      </c>
      <c r="BA291" s="1">
        <v>40</v>
      </c>
    </row>
    <row r="292" spans="1:53">
      <c r="A292" s="19">
        <v>74001</v>
      </c>
      <c r="B292" s="1">
        <v>2024</v>
      </c>
      <c r="C292" s="1">
        <v>12048</v>
      </c>
      <c r="D292" s="1">
        <v>0</v>
      </c>
      <c r="E292" s="1">
        <v>0</v>
      </c>
      <c r="F292" s="1">
        <v>0</v>
      </c>
      <c r="G292" s="1">
        <v>0</v>
      </c>
      <c r="H292" s="1">
        <v>761</v>
      </c>
      <c r="I292" s="1">
        <v>578</v>
      </c>
      <c r="J292" s="1">
        <v>82</v>
      </c>
      <c r="K292" s="1">
        <v>0</v>
      </c>
      <c r="L292" s="1">
        <v>0</v>
      </c>
      <c r="M292" s="1">
        <v>81</v>
      </c>
      <c r="N292" s="1">
        <v>6</v>
      </c>
      <c r="O292" s="1">
        <v>164</v>
      </c>
      <c r="P292" s="1">
        <v>0</v>
      </c>
      <c r="Q292" s="1">
        <v>130</v>
      </c>
      <c r="R292" s="1">
        <v>91</v>
      </c>
      <c r="S292" s="1">
        <v>142</v>
      </c>
      <c r="T292" s="1">
        <v>0</v>
      </c>
      <c r="U292" s="1">
        <v>0</v>
      </c>
      <c r="V292" s="1">
        <v>0</v>
      </c>
      <c r="W292" s="1">
        <v>138</v>
      </c>
      <c r="X292" s="1">
        <v>0</v>
      </c>
      <c r="Y292" s="1">
        <v>425</v>
      </c>
      <c r="Z292" s="1">
        <v>0</v>
      </c>
      <c r="AA292" s="1">
        <v>141</v>
      </c>
      <c r="AB292" s="1">
        <v>89</v>
      </c>
      <c r="AC292" s="1">
        <v>200</v>
      </c>
      <c r="AD292" s="1">
        <v>0</v>
      </c>
      <c r="AE292" s="1">
        <v>293</v>
      </c>
      <c r="AF292" s="1">
        <v>0</v>
      </c>
      <c r="AG292" s="1">
        <v>797</v>
      </c>
      <c r="AH292" s="1">
        <v>0</v>
      </c>
      <c r="AI292" s="1">
        <v>6</v>
      </c>
      <c r="AJ292" s="1">
        <v>0</v>
      </c>
      <c r="AK292" s="1">
        <v>0</v>
      </c>
      <c r="AL292" s="1">
        <v>89</v>
      </c>
      <c r="AM292" s="1">
        <v>433</v>
      </c>
      <c r="AN292" s="1">
        <v>46</v>
      </c>
      <c r="AO292" s="1">
        <v>496</v>
      </c>
      <c r="AP292" s="1">
        <v>0</v>
      </c>
      <c r="AQ292" s="1">
        <v>560</v>
      </c>
      <c r="AR292" s="1">
        <v>577</v>
      </c>
      <c r="AS292" s="1">
        <v>788</v>
      </c>
      <c r="AT292" s="1">
        <v>387</v>
      </c>
      <c r="AU292" s="1">
        <v>3312</v>
      </c>
      <c r="AV292" s="1">
        <v>72</v>
      </c>
      <c r="AW292" s="1">
        <v>557</v>
      </c>
      <c r="AX292" s="1">
        <v>0</v>
      </c>
      <c r="AY292" s="1">
        <v>607</v>
      </c>
      <c r="AZ292" s="1">
        <v>0</v>
      </c>
      <c r="BA292" s="1">
        <v>0</v>
      </c>
    </row>
    <row r="293" spans="1:53">
      <c r="A293" s="19">
        <v>74003</v>
      </c>
      <c r="B293" s="1">
        <v>2024</v>
      </c>
      <c r="C293" s="1">
        <v>27344</v>
      </c>
      <c r="D293" s="1">
        <v>0</v>
      </c>
      <c r="E293" s="1">
        <v>0</v>
      </c>
      <c r="F293" s="1">
        <v>13</v>
      </c>
      <c r="G293" s="1">
        <v>30</v>
      </c>
      <c r="H293" s="1">
        <v>2460</v>
      </c>
      <c r="I293" s="1">
        <v>3409</v>
      </c>
      <c r="J293" s="1">
        <v>2800</v>
      </c>
      <c r="K293" s="1">
        <v>249</v>
      </c>
      <c r="L293" s="1">
        <v>0</v>
      </c>
      <c r="M293" s="1">
        <v>0</v>
      </c>
      <c r="N293" s="1">
        <v>91</v>
      </c>
      <c r="O293" s="1">
        <v>20</v>
      </c>
      <c r="P293" s="1">
        <v>0</v>
      </c>
      <c r="Q293" s="1">
        <v>318</v>
      </c>
      <c r="R293" s="1">
        <v>0</v>
      </c>
      <c r="S293" s="1">
        <v>61</v>
      </c>
      <c r="T293" s="1">
        <v>0</v>
      </c>
      <c r="U293" s="1">
        <v>258</v>
      </c>
      <c r="V293" s="1">
        <v>91</v>
      </c>
      <c r="W293" s="1">
        <v>637</v>
      </c>
      <c r="X293" s="1">
        <v>153</v>
      </c>
      <c r="Y293" s="1">
        <v>1368</v>
      </c>
      <c r="Z293" s="1">
        <v>0</v>
      </c>
      <c r="AA293" s="1">
        <v>339</v>
      </c>
      <c r="AB293" s="1">
        <v>0</v>
      </c>
      <c r="AC293" s="1">
        <v>0</v>
      </c>
      <c r="AD293" s="1">
        <v>39</v>
      </c>
      <c r="AE293" s="1">
        <v>298</v>
      </c>
      <c r="AF293" s="1">
        <v>191</v>
      </c>
      <c r="AG293" s="1">
        <v>1075</v>
      </c>
      <c r="AH293" s="1">
        <v>0</v>
      </c>
      <c r="AI293" s="1">
        <v>163</v>
      </c>
      <c r="AJ293" s="1">
        <v>0</v>
      </c>
      <c r="AK293" s="1">
        <v>297</v>
      </c>
      <c r="AL293" s="1">
        <v>0</v>
      </c>
      <c r="AM293" s="1">
        <v>1053</v>
      </c>
      <c r="AN293" s="1">
        <v>0</v>
      </c>
      <c r="AO293" s="1">
        <v>0</v>
      </c>
      <c r="AP293" s="1">
        <v>0</v>
      </c>
      <c r="AQ293" s="1">
        <v>349</v>
      </c>
      <c r="AR293" s="1">
        <v>0</v>
      </c>
      <c r="AS293" s="1">
        <v>2360</v>
      </c>
      <c r="AT293" s="1">
        <v>0</v>
      </c>
      <c r="AU293" s="1">
        <v>6425</v>
      </c>
      <c r="AV293" s="1">
        <v>0</v>
      </c>
      <c r="AW293" s="1">
        <v>1312</v>
      </c>
      <c r="AX293" s="1">
        <v>0</v>
      </c>
      <c r="AY293" s="1">
        <v>1485</v>
      </c>
      <c r="AZ293" s="1">
        <v>0</v>
      </c>
      <c r="BA293" s="1">
        <v>0</v>
      </c>
    </row>
    <row r="294" spans="1:53">
      <c r="A294" s="19">
        <v>75001</v>
      </c>
      <c r="B294" s="1">
        <v>2024</v>
      </c>
      <c r="C294" s="1">
        <v>16756</v>
      </c>
      <c r="D294" s="1">
        <v>0</v>
      </c>
      <c r="E294" s="1">
        <v>0</v>
      </c>
      <c r="F294" s="1">
        <v>316</v>
      </c>
      <c r="G294" s="1">
        <v>17</v>
      </c>
      <c r="H294" s="1">
        <v>421</v>
      </c>
      <c r="I294" s="1">
        <v>297</v>
      </c>
      <c r="J294" s="1">
        <v>434</v>
      </c>
      <c r="K294" s="1">
        <v>225</v>
      </c>
      <c r="L294" s="1">
        <v>0</v>
      </c>
      <c r="M294" s="1">
        <v>0</v>
      </c>
      <c r="N294" s="1">
        <v>0</v>
      </c>
      <c r="O294" s="1">
        <v>83</v>
      </c>
      <c r="P294" s="1">
        <v>0</v>
      </c>
      <c r="Q294" s="1">
        <v>289</v>
      </c>
      <c r="R294" s="1">
        <v>0</v>
      </c>
      <c r="S294" s="1">
        <v>8</v>
      </c>
      <c r="T294" s="1">
        <v>0</v>
      </c>
      <c r="U294" s="1">
        <v>0</v>
      </c>
      <c r="V294" s="1">
        <v>0</v>
      </c>
      <c r="W294" s="1">
        <v>289</v>
      </c>
      <c r="X294" s="1">
        <v>0</v>
      </c>
      <c r="Y294" s="1">
        <v>214</v>
      </c>
      <c r="Z294" s="1">
        <v>0</v>
      </c>
      <c r="AA294" s="1">
        <v>271</v>
      </c>
      <c r="AB294" s="1">
        <v>0</v>
      </c>
      <c r="AC294" s="1">
        <v>270</v>
      </c>
      <c r="AD294" s="1">
        <v>0</v>
      </c>
      <c r="AE294" s="1">
        <v>389</v>
      </c>
      <c r="AF294" s="1">
        <v>0</v>
      </c>
      <c r="AG294" s="1">
        <v>953</v>
      </c>
      <c r="AH294" s="1">
        <v>0</v>
      </c>
      <c r="AI294" s="1">
        <v>58</v>
      </c>
      <c r="AJ294" s="1">
        <v>0</v>
      </c>
      <c r="AK294" s="1">
        <v>917</v>
      </c>
      <c r="AL294" s="1">
        <v>0</v>
      </c>
      <c r="AM294" s="1">
        <v>561</v>
      </c>
      <c r="AN294" s="1">
        <v>0</v>
      </c>
      <c r="AO294" s="1">
        <v>931</v>
      </c>
      <c r="AP294" s="1">
        <v>0</v>
      </c>
      <c r="AQ294" s="1">
        <v>531</v>
      </c>
      <c r="AR294" s="1">
        <v>0</v>
      </c>
      <c r="AS294" s="1">
        <v>1841</v>
      </c>
      <c r="AT294" s="1">
        <v>0</v>
      </c>
      <c r="AU294" s="1">
        <v>4065</v>
      </c>
      <c r="AV294" s="1">
        <v>0</v>
      </c>
      <c r="AW294" s="1">
        <v>1578</v>
      </c>
      <c r="AX294" s="1">
        <v>0</v>
      </c>
      <c r="AY294" s="1">
        <v>1798</v>
      </c>
      <c r="AZ294" s="1">
        <v>0</v>
      </c>
      <c r="BA294" s="1">
        <v>0</v>
      </c>
    </row>
    <row r="295" spans="1:53">
      <c r="A295" s="19">
        <v>76001</v>
      </c>
      <c r="B295" s="1">
        <v>2024</v>
      </c>
      <c r="C295" s="1">
        <v>15515</v>
      </c>
      <c r="D295" s="1">
        <v>0</v>
      </c>
      <c r="E295" s="1">
        <v>50</v>
      </c>
      <c r="F295" s="1">
        <v>0</v>
      </c>
      <c r="G295" s="1">
        <v>134</v>
      </c>
      <c r="H295" s="1">
        <v>180</v>
      </c>
      <c r="I295" s="1">
        <v>175</v>
      </c>
      <c r="J295" s="1">
        <v>353</v>
      </c>
      <c r="K295" s="1">
        <v>40</v>
      </c>
      <c r="L295" s="1">
        <v>0</v>
      </c>
      <c r="M295" s="1">
        <v>92</v>
      </c>
      <c r="N295" s="1">
        <v>0</v>
      </c>
      <c r="O295" s="1">
        <v>25</v>
      </c>
      <c r="P295" s="1">
        <v>0</v>
      </c>
      <c r="Q295" s="1">
        <v>224</v>
      </c>
      <c r="R295" s="1">
        <v>0</v>
      </c>
      <c r="S295" s="1">
        <v>0</v>
      </c>
      <c r="T295" s="1">
        <v>0</v>
      </c>
      <c r="U295" s="1">
        <v>520</v>
      </c>
      <c r="V295" s="1">
        <v>119</v>
      </c>
      <c r="W295" s="1">
        <v>1002</v>
      </c>
      <c r="X295" s="1">
        <v>75</v>
      </c>
      <c r="Y295" s="1">
        <v>487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404</v>
      </c>
      <c r="AF295" s="1">
        <v>0</v>
      </c>
      <c r="AG295" s="1">
        <v>1051</v>
      </c>
      <c r="AH295" s="1">
        <v>19</v>
      </c>
      <c r="AI295" s="1">
        <v>137</v>
      </c>
      <c r="AJ295" s="1">
        <v>0</v>
      </c>
      <c r="AK295" s="1">
        <v>122</v>
      </c>
      <c r="AL295" s="1">
        <v>0</v>
      </c>
      <c r="AM295" s="1">
        <v>769</v>
      </c>
      <c r="AN295" s="1">
        <v>0</v>
      </c>
      <c r="AO295" s="1">
        <v>939</v>
      </c>
      <c r="AP295" s="1">
        <v>0</v>
      </c>
      <c r="AQ295" s="1">
        <v>980</v>
      </c>
      <c r="AR295" s="1">
        <v>0</v>
      </c>
      <c r="AS295" s="1">
        <v>1338</v>
      </c>
      <c r="AT295" s="1">
        <v>0</v>
      </c>
      <c r="AU295" s="1">
        <v>2548</v>
      </c>
      <c r="AV295" s="1">
        <v>0</v>
      </c>
      <c r="AW295" s="1">
        <v>1539</v>
      </c>
      <c r="AX295" s="1">
        <v>0</v>
      </c>
      <c r="AY295" s="1">
        <v>2189</v>
      </c>
      <c r="AZ295" s="1">
        <v>0</v>
      </c>
      <c r="BA295" s="1">
        <v>4</v>
      </c>
    </row>
    <row r="296" spans="1:53">
      <c r="A296" s="19">
        <v>77001</v>
      </c>
      <c r="B296" s="1">
        <v>2024</v>
      </c>
      <c r="C296" s="1">
        <v>15585</v>
      </c>
      <c r="D296" s="1">
        <v>0</v>
      </c>
      <c r="E296" s="1">
        <v>0</v>
      </c>
      <c r="F296" s="1">
        <v>117</v>
      </c>
      <c r="G296" s="1">
        <v>332</v>
      </c>
      <c r="H296" s="1">
        <v>641</v>
      </c>
      <c r="I296" s="1">
        <v>229</v>
      </c>
      <c r="J296" s="1">
        <v>242</v>
      </c>
      <c r="K296" s="1">
        <v>152</v>
      </c>
      <c r="L296" s="1">
        <v>0</v>
      </c>
      <c r="M296" s="1">
        <v>123</v>
      </c>
      <c r="N296" s="1">
        <v>0</v>
      </c>
      <c r="O296" s="1">
        <v>129</v>
      </c>
      <c r="P296" s="1">
        <v>0</v>
      </c>
      <c r="Q296" s="1">
        <v>399</v>
      </c>
      <c r="R296" s="1">
        <v>0</v>
      </c>
      <c r="S296" s="1">
        <v>7</v>
      </c>
      <c r="T296" s="1">
        <v>0</v>
      </c>
      <c r="U296" s="1">
        <v>0</v>
      </c>
      <c r="V296" s="1">
        <v>0</v>
      </c>
      <c r="W296" s="1">
        <v>445</v>
      </c>
      <c r="X296" s="1">
        <v>54</v>
      </c>
      <c r="Y296" s="1">
        <v>561</v>
      </c>
      <c r="Z296" s="1">
        <v>0</v>
      </c>
      <c r="AA296" s="1">
        <v>32</v>
      </c>
      <c r="AB296" s="1">
        <v>85</v>
      </c>
      <c r="AC296" s="1">
        <v>279</v>
      </c>
      <c r="AD296" s="1">
        <v>22</v>
      </c>
      <c r="AE296" s="1">
        <v>901</v>
      </c>
      <c r="AF296" s="1">
        <v>0</v>
      </c>
      <c r="AG296" s="1">
        <v>1213</v>
      </c>
      <c r="AH296" s="1">
        <v>0</v>
      </c>
      <c r="AI296" s="1">
        <v>195</v>
      </c>
      <c r="AJ296" s="1">
        <v>0</v>
      </c>
      <c r="AK296" s="1">
        <v>1637</v>
      </c>
      <c r="AL296" s="1">
        <v>0</v>
      </c>
      <c r="AM296" s="1">
        <v>274</v>
      </c>
      <c r="AN296" s="1">
        <v>0</v>
      </c>
      <c r="AO296" s="1">
        <v>1303</v>
      </c>
      <c r="AP296" s="1">
        <v>0</v>
      </c>
      <c r="AQ296" s="1">
        <v>965</v>
      </c>
      <c r="AR296" s="1">
        <v>0</v>
      </c>
      <c r="AS296" s="1">
        <v>1033</v>
      </c>
      <c r="AT296" s="1">
        <v>0</v>
      </c>
      <c r="AU296" s="1">
        <v>806</v>
      </c>
      <c r="AV296" s="1">
        <v>0</v>
      </c>
      <c r="AW296" s="1">
        <v>937</v>
      </c>
      <c r="AX296" s="1">
        <v>0</v>
      </c>
      <c r="AY296" s="1">
        <v>2471</v>
      </c>
      <c r="AZ296" s="1">
        <v>0</v>
      </c>
      <c r="BA296" s="1">
        <v>1</v>
      </c>
    </row>
    <row r="297" spans="1:53">
      <c r="A297" s="19">
        <v>77002</v>
      </c>
      <c r="B297" s="1">
        <v>2024</v>
      </c>
      <c r="C297" s="1">
        <v>13909</v>
      </c>
      <c r="D297" s="1">
        <v>0</v>
      </c>
      <c r="E297" s="1">
        <v>0</v>
      </c>
      <c r="F297" s="1">
        <v>0</v>
      </c>
      <c r="G297" s="1">
        <v>127</v>
      </c>
      <c r="H297" s="1">
        <v>126</v>
      </c>
      <c r="I297" s="1">
        <v>197</v>
      </c>
      <c r="J297" s="1">
        <v>238</v>
      </c>
      <c r="K297" s="1">
        <v>28</v>
      </c>
      <c r="L297" s="1">
        <v>0</v>
      </c>
      <c r="M297" s="1">
        <v>152</v>
      </c>
      <c r="N297" s="1">
        <v>0</v>
      </c>
      <c r="O297" s="1">
        <v>61</v>
      </c>
      <c r="P297" s="1">
        <v>43</v>
      </c>
      <c r="Q297" s="1">
        <v>141</v>
      </c>
      <c r="R297" s="1">
        <v>0</v>
      </c>
      <c r="S297" s="1">
        <v>92</v>
      </c>
      <c r="T297" s="1">
        <v>20</v>
      </c>
      <c r="U297" s="1">
        <v>427</v>
      </c>
      <c r="V297" s="1">
        <v>8</v>
      </c>
      <c r="W297" s="1">
        <v>120</v>
      </c>
      <c r="X297" s="1">
        <v>0</v>
      </c>
      <c r="Y297" s="1">
        <v>137</v>
      </c>
      <c r="Z297" s="1">
        <v>0</v>
      </c>
      <c r="AA297" s="1">
        <v>57</v>
      </c>
      <c r="AB297" s="1">
        <v>0</v>
      </c>
      <c r="AC297" s="1">
        <v>128</v>
      </c>
      <c r="AD297" s="1">
        <v>92</v>
      </c>
      <c r="AE297" s="1">
        <v>781</v>
      </c>
      <c r="AF297" s="1">
        <v>30</v>
      </c>
      <c r="AG297" s="1">
        <v>335</v>
      </c>
      <c r="AH297" s="1">
        <v>0</v>
      </c>
      <c r="AI297" s="1">
        <v>397</v>
      </c>
      <c r="AJ297" s="1">
        <v>0</v>
      </c>
      <c r="AK297" s="1">
        <v>61</v>
      </c>
      <c r="AL297" s="1">
        <v>0</v>
      </c>
      <c r="AM297" s="1">
        <v>548</v>
      </c>
      <c r="AN297" s="1">
        <v>0</v>
      </c>
      <c r="AO297" s="1">
        <v>1420</v>
      </c>
      <c r="AP297" s="1">
        <v>0</v>
      </c>
      <c r="AQ297" s="1">
        <v>717</v>
      </c>
      <c r="AR297" s="1">
        <v>0</v>
      </c>
      <c r="AS297" s="1">
        <v>2258</v>
      </c>
      <c r="AT297" s="1">
        <v>0</v>
      </c>
      <c r="AU297" s="1">
        <v>1499</v>
      </c>
      <c r="AV297" s="1">
        <v>0</v>
      </c>
      <c r="AW297" s="1">
        <v>1839</v>
      </c>
      <c r="AX297" s="1">
        <v>0</v>
      </c>
      <c r="AY297" s="1">
        <v>1830</v>
      </c>
      <c r="AZ297" s="1">
        <v>0</v>
      </c>
      <c r="BA297" s="1">
        <v>0</v>
      </c>
    </row>
    <row r="298" spans="1:53">
      <c r="A298" s="19">
        <v>78001</v>
      </c>
      <c r="B298" s="1">
        <v>2024</v>
      </c>
      <c r="C298" s="1">
        <v>9809</v>
      </c>
      <c r="D298" s="1">
        <v>0</v>
      </c>
      <c r="E298" s="1">
        <v>0</v>
      </c>
      <c r="F298" s="1">
        <v>23</v>
      </c>
      <c r="G298" s="1">
        <v>152</v>
      </c>
      <c r="H298" s="1">
        <v>382</v>
      </c>
      <c r="I298" s="1">
        <v>191</v>
      </c>
      <c r="J298" s="1">
        <v>128</v>
      </c>
      <c r="K298" s="1">
        <v>43</v>
      </c>
      <c r="L298" s="1">
        <v>0</v>
      </c>
      <c r="M298" s="1">
        <v>61</v>
      </c>
      <c r="N298" s="1">
        <v>0</v>
      </c>
      <c r="O298" s="1">
        <v>31</v>
      </c>
      <c r="P298" s="1">
        <v>0</v>
      </c>
      <c r="Q298" s="1">
        <v>0</v>
      </c>
      <c r="R298" s="1">
        <v>0</v>
      </c>
      <c r="S298" s="1">
        <v>28</v>
      </c>
      <c r="T298" s="1">
        <v>0</v>
      </c>
      <c r="U298" s="1">
        <v>23</v>
      </c>
      <c r="V298" s="1">
        <v>0</v>
      </c>
      <c r="W298" s="1">
        <v>494</v>
      </c>
      <c r="X298" s="1">
        <v>0</v>
      </c>
      <c r="Y298" s="1">
        <v>115</v>
      </c>
      <c r="Z298" s="1">
        <v>0</v>
      </c>
      <c r="AA298" s="1">
        <v>0</v>
      </c>
      <c r="AB298" s="1">
        <v>0</v>
      </c>
      <c r="AC298" s="1">
        <v>104</v>
      </c>
      <c r="AD298" s="1">
        <v>0</v>
      </c>
      <c r="AE298" s="1">
        <v>434</v>
      </c>
      <c r="AF298" s="1">
        <v>0</v>
      </c>
      <c r="AG298" s="1">
        <v>379</v>
      </c>
      <c r="AH298" s="1">
        <v>0</v>
      </c>
      <c r="AI298" s="1">
        <v>242</v>
      </c>
      <c r="AJ298" s="1">
        <v>0</v>
      </c>
      <c r="AK298" s="1">
        <v>279</v>
      </c>
      <c r="AL298" s="1">
        <v>0</v>
      </c>
      <c r="AM298" s="1">
        <v>1119</v>
      </c>
      <c r="AN298" s="1">
        <v>92</v>
      </c>
      <c r="AO298" s="1">
        <v>1454</v>
      </c>
      <c r="AP298" s="1">
        <v>0</v>
      </c>
      <c r="AQ298" s="1">
        <v>27</v>
      </c>
      <c r="AR298" s="1">
        <v>0</v>
      </c>
      <c r="AS298" s="1">
        <v>948</v>
      </c>
      <c r="AT298" s="1">
        <v>0</v>
      </c>
      <c r="AU298" s="1">
        <v>987</v>
      </c>
      <c r="AV298" s="1">
        <v>31</v>
      </c>
      <c r="AW298" s="1">
        <v>119</v>
      </c>
      <c r="AX298" s="1">
        <v>0</v>
      </c>
      <c r="AY298" s="1">
        <v>1923</v>
      </c>
      <c r="AZ298" s="1">
        <v>0</v>
      </c>
      <c r="BA298" s="1">
        <v>0</v>
      </c>
    </row>
    <row r="299" spans="1:53">
      <c r="A299" s="19">
        <v>78002</v>
      </c>
      <c r="B299" s="1">
        <v>2024</v>
      </c>
      <c r="C299" s="1">
        <v>11119</v>
      </c>
      <c r="D299" s="1">
        <v>0</v>
      </c>
      <c r="E299" s="1">
        <v>0</v>
      </c>
      <c r="F299" s="1">
        <v>88</v>
      </c>
      <c r="G299" s="1">
        <v>6</v>
      </c>
      <c r="H299" s="1">
        <v>140</v>
      </c>
      <c r="I299" s="1">
        <v>485</v>
      </c>
      <c r="J299" s="1">
        <v>219</v>
      </c>
      <c r="K299" s="1">
        <v>124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186</v>
      </c>
      <c r="R299" s="1">
        <v>0</v>
      </c>
      <c r="S299" s="1">
        <v>308</v>
      </c>
      <c r="T299" s="1">
        <v>0</v>
      </c>
      <c r="U299" s="1">
        <v>91</v>
      </c>
      <c r="V299" s="1">
        <v>0</v>
      </c>
      <c r="W299" s="1">
        <v>111</v>
      </c>
      <c r="X299" s="1">
        <v>0</v>
      </c>
      <c r="Y299" s="1">
        <v>252</v>
      </c>
      <c r="Z299" s="1">
        <v>0</v>
      </c>
      <c r="AA299" s="1">
        <v>97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91</v>
      </c>
      <c r="AH299" s="1">
        <v>0</v>
      </c>
      <c r="AI299" s="1">
        <v>91</v>
      </c>
      <c r="AJ299" s="1">
        <v>0</v>
      </c>
      <c r="AK299" s="1">
        <v>348</v>
      </c>
      <c r="AL299" s="1">
        <v>0</v>
      </c>
      <c r="AM299" s="1">
        <v>678</v>
      </c>
      <c r="AN299" s="1">
        <v>0</v>
      </c>
      <c r="AO299" s="1">
        <v>236</v>
      </c>
      <c r="AP299" s="1">
        <v>0</v>
      </c>
      <c r="AQ299" s="1">
        <v>672</v>
      </c>
      <c r="AR299" s="1">
        <v>0</v>
      </c>
      <c r="AS299" s="1">
        <v>852</v>
      </c>
      <c r="AT299" s="1">
        <v>0</v>
      </c>
      <c r="AU299" s="1">
        <v>2809</v>
      </c>
      <c r="AV299" s="1">
        <v>0</v>
      </c>
      <c r="AW299" s="1">
        <v>1415</v>
      </c>
      <c r="AX299" s="1">
        <v>0</v>
      </c>
      <c r="AY299" s="1">
        <v>1820</v>
      </c>
      <c r="AZ299" s="1">
        <v>0</v>
      </c>
      <c r="BA299" s="1">
        <v>0</v>
      </c>
    </row>
    <row r="300" spans="1:53">
      <c r="A300" s="19">
        <v>79002</v>
      </c>
      <c r="B300" s="1">
        <v>2024</v>
      </c>
      <c r="C300" s="1">
        <v>11986</v>
      </c>
      <c r="D300" s="1">
        <v>0</v>
      </c>
      <c r="E300" s="1">
        <v>0</v>
      </c>
      <c r="F300" s="1">
        <v>10</v>
      </c>
      <c r="G300" s="1">
        <v>0</v>
      </c>
      <c r="H300" s="1">
        <v>757</v>
      </c>
      <c r="I300" s="1">
        <v>655</v>
      </c>
      <c r="J300" s="1">
        <v>656</v>
      </c>
      <c r="K300" s="1">
        <v>11</v>
      </c>
      <c r="L300" s="1">
        <v>0</v>
      </c>
      <c r="M300" s="1">
        <v>0</v>
      </c>
      <c r="N300" s="1">
        <v>39</v>
      </c>
      <c r="O300" s="1">
        <v>169</v>
      </c>
      <c r="P300" s="1">
        <v>22</v>
      </c>
      <c r="Q300" s="1">
        <v>274</v>
      </c>
      <c r="R300" s="1">
        <v>0</v>
      </c>
      <c r="S300" s="1">
        <v>79</v>
      </c>
      <c r="T300" s="1">
        <v>0</v>
      </c>
      <c r="U300" s="1">
        <v>0</v>
      </c>
      <c r="V300" s="1">
        <v>0</v>
      </c>
      <c r="W300" s="1">
        <v>624</v>
      </c>
      <c r="X300" s="1">
        <v>88</v>
      </c>
      <c r="Y300" s="1">
        <v>736</v>
      </c>
      <c r="Z300" s="1">
        <v>0</v>
      </c>
      <c r="AA300" s="1">
        <v>347</v>
      </c>
      <c r="AB300" s="1">
        <v>0</v>
      </c>
      <c r="AC300" s="1">
        <v>48</v>
      </c>
      <c r="AD300" s="1">
        <v>0</v>
      </c>
      <c r="AE300" s="1">
        <v>481</v>
      </c>
      <c r="AF300" s="1">
        <v>0</v>
      </c>
      <c r="AG300" s="1">
        <v>1145</v>
      </c>
      <c r="AH300" s="1">
        <v>0</v>
      </c>
      <c r="AI300" s="1">
        <v>402</v>
      </c>
      <c r="AJ300" s="1">
        <v>0</v>
      </c>
      <c r="AK300" s="1">
        <v>56</v>
      </c>
      <c r="AL300" s="1">
        <v>0</v>
      </c>
      <c r="AM300" s="1">
        <v>472</v>
      </c>
      <c r="AN300" s="1">
        <v>0</v>
      </c>
      <c r="AO300" s="1">
        <v>0</v>
      </c>
      <c r="AP300" s="1">
        <v>0</v>
      </c>
      <c r="AQ300" s="1">
        <v>496</v>
      </c>
      <c r="AR300" s="1">
        <v>0</v>
      </c>
      <c r="AS300" s="1">
        <v>659</v>
      </c>
      <c r="AT300" s="1">
        <v>0</v>
      </c>
      <c r="AU300" s="1">
        <v>1267</v>
      </c>
      <c r="AV300" s="1">
        <v>0</v>
      </c>
      <c r="AW300" s="1">
        <v>1348</v>
      </c>
      <c r="AX300" s="1">
        <v>0</v>
      </c>
      <c r="AY300" s="1">
        <v>713</v>
      </c>
      <c r="AZ300" s="1">
        <v>0</v>
      </c>
      <c r="BA300" s="1">
        <v>432</v>
      </c>
    </row>
    <row r="301" spans="1:53">
      <c r="A301" s="19">
        <v>79003</v>
      </c>
      <c r="B301" s="1">
        <v>2024</v>
      </c>
      <c r="C301" s="1">
        <v>24663</v>
      </c>
      <c r="D301" s="1">
        <v>0</v>
      </c>
      <c r="E301" s="1">
        <v>0</v>
      </c>
      <c r="F301" s="1">
        <v>0</v>
      </c>
      <c r="G301" s="1">
        <v>136</v>
      </c>
      <c r="H301" s="1">
        <v>1381</v>
      </c>
      <c r="I301" s="1">
        <v>613</v>
      </c>
      <c r="J301" s="1">
        <v>858</v>
      </c>
      <c r="K301" s="1">
        <v>364</v>
      </c>
      <c r="L301" s="1">
        <v>0</v>
      </c>
      <c r="M301" s="1">
        <v>342</v>
      </c>
      <c r="N301" s="1">
        <v>0</v>
      </c>
      <c r="O301" s="1">
        <v>8</v>
      </c>
      <c r="P301" s="1">
        <v>0</v>
      </c>
      <c r="Q301" s="1">
        <v>0</v>
      </c>
      <c r="R301" s="1">
        <v>0</v>
      </c>
      <c r="S301" s="1">
        <v>0</v>
      </c>
      <c r="T301" s="1">
        <v>63</v>
      </c>
      <c r="U301" s="1">
        <v>790</v>
      </c>
      <c r="V301" s="1">
        <v>0</v>
      </c>
      <c r="W301" s="1">
        <v>629</v>
      </c>
      <c r="X301" s="1">
        <v>0</v>
      </c>
      <c r="Y301" s="1">
        <v>705</v>
      </c>
      <c r="Z301" s="1">
        <v>0</v>
      </c>
      <c r="AA301" s="1">
        <v>122</v>
      </c>
      <c r="AB301" s="1">
        <v>0</v>
      </c>
      <c r="AC301" s="1">
        <v>90</v>
      </c>
      <c r="AD301" s="1">
        <v>0</v>
      </c>
      <c r="AE301" s="1">
        <v>97</v>
      </c>
      <c r="AF301" s="1">
        <v>0</v>
      </c>
      <c r="AG301" s="1">
        <v>860</v>
      </c>
      <c r="AH301" s="1">
        <v>0</v>
      </c>
      <c r="AI301" s="1">
        <v>45</v>
      </c>
      <c r="AJ301" s="1">
        <v>0</v>
      </c>
      <c r="AK301" s="1">
        <v>1980</v>
      </c>
      <c r="AL301" s="1">
        <v>0</v>
      </c>
      <c r="AM301" s="1">
        <v>2196</v>
      </c>
      <c r="AN301" s="1">
        <v>0</v>
      </c>
      <c r="AO301" s="1">
        <v>2281</v>
      </c>
      <c r="AP301" s="1">
        <v>0</v>
      </c>
      <c r="AQ301" s="1">
        <v>1429</v>
      </c>
      <c r="AR301" s="1">
        <v>0</v>
      </c>
      <c r="AS301" s="1">
        <v>3813</v>
      </c>
      <c r="AT301" s="1">
        <v>0</v>
      </c>
      <c r="AU301" s="1">
        <v>2153</v>
      </c>
      <c r="AV301" s="1">
        <v>0</v>
      </c>
      <c r="AW301" s="1">
        <v>2099</v>
      </c>
      <c r="AX301" s="1">
        <v>0</v>
      </c>
      <c r="AY301" s="1">
        <v>1586</v>
      </c>
      <c r="AZ301" s="1">
        <v>0</v>
      </c>
      <c r="BA301" s="1">
        <v>23</v>
      </c>
    </row>
    <row r="302" spans="1:53">
      <c r="A302" s="19">
        <v>80001</v>
      </c>
      <c r="B302" s="1">
        <v>2024</v>
      </c>
      <c r="C302" s="1">
        <v>27621</v>
      </c>
      <c r="D302" s="1">
        <v>0</v>
      </c>
      <c r="E302" s="1">
        <v>0</v>
      </c>
      <c r="F302" s="1">
        <v>0</v>
      </c>
      <c r="G302" s="1">
        <v>167</v>
      </c>
      <c r="H302" s="1">
        <v>1525</v>
      </c>
      <c r="I302" s="1">
        <v>2095</v>
      </c>
      <c r="J302" s="1">
        <v>232</v>
      </c>
      <c r="K302" s="1">
        <v>144</v>
      </c>
      <c r="L302" s="1">
        <v>0</v>
      </c>
      <c r="M302" s="1">
        <v>0</v>
      </c>
      <c r="N302" s="1">
        <v>106</v>
      </c>
      <c r="O302" s="1">
        <v>928</v>
      </c>
      <c r="P302" s="1">
        <v>260</v>
      </c>
      <c r="Q302" s="1">
        <v>582</v>
      </c>
      <c r="R302" s="1">
        <v>11</v>
      </c>
      <c r="S302" s="1">
        <v>691</v>
      </c>
      <c r="T302" s="1">
        <v>0</v>
      </c>
      <c r="U302" s="1">
        <v>256</v>
      </c>
      <c r="V302" s="1">
        <v>0</v>
      </c>
      <c r="W302" s="1">
        <v>382</v>
      </c>
      <c r="X302" s="1">
        <v>0</v>
      </c>
      <c r="Y302" s="1">
        <v>1600</v>
      </c>
      <c r="Z302" s="1">
        <v>15</v>
      </c>
      <c r="AA302" s="1">
        <v>566</v>
      </c>
      <c r="AB302" s="1">
        <v>0</v>
      </c>
      <c r="AC302" s="1">
        <v>68</v>
      </c>
      <c r="AD302" s="1">
        <v>168</v>
      </c>
      <c r="AE302" s="1">
        <v>590</v>
      </c>
      <c r="AF302" s="1">
        <v>167</v>
      </c>
      <c r="AG302" s="1">
        <v>2231</v>
      </c>
      <c r="AH302" s="1">
        <v>84</v>
      </c>
      <c r="AI302" s="1">
        <v>230</v>
      </c>
      <c r="AJ302" s="1">
        <v>0</v>
      </c>
      <c r="AK302" s="1">
        <v>589</v>
      </c>
      <c r="AL302" s="1">
        <v>512</v>
      </c>
      <c r="AM302" s="1">
        <v>1016</v>
      </c>
      <c r="AN302" s="1">
        <v>126</v>
      </c>
      <c r="AO302" s="1">
        <v>492</v>
      </c>
      <c r="AP302" s="1">
        <v>249</v>
      </c>
      <c r="AQ302" s="1">
        <v>422</v>
      </c>
      <c r="AR302" s="1">
        <v>414</v>
      </c>
      <c r="AS302" s="1">
        <v>1742</v>
      </c>
      <c r="AT302" s="1">
        <v>3838</v>
      </c>
      <c r="AU302" s="1">
        <v>3293</v>
      </c>
      <c r="AV302" s="1">
        <v>268</v>
      </c>
      <c r="AW302" s="1">
        <v>1036</v>
      </c>
      <c r="AX302" s="1">
        <v>84</v>
      </c>
      <c r="AY302" s="1">
        <v>379</v>
      </c>
      <c r="AZ302" s="1">
        <v>0</v>
      </c>
      <c r="BA302" s="1">
        <v>63</v>
      </c>
    </row>
    <row r="303" spans="1:53">
      <c r="A303" s="19">
        <v>80002</v>
      </c>
      <c r="B303" s="1">
        <v>2024</v>
      </c>
      <c r="C303" s="1">
        <v>20301</v>
      </c>
      <c r="D303" s="1">
        <v>0</v>
      </c>
      <c r="E303" s="1">
        <v>0</v>
      </c>
      <c r="F303" s="1">
        <v>19</v>
      </c>
      <c r="G303" s="1">
        <v>177</v>
      </c>
      <c r="H303" s="1">
        <v>851</v>
      </c>
      <c r="I303" s="1">
        <v>785</v>
      </c>
      <c r="J303" s="1">
        <v>589</v>
      </c>
      <c r="K303" s="1">
        <v>279</v>
      </c>
      <c r="L303" s="1">
        <v>0</v>
      </c>
      <c r="M303" s="1">
        <v>183</v>
      </c>
      <c r="N303" s="1">
        <v>0</v>
      </c>
      <c r="O303" s="1">
        <v>376</v>
      </c>
      <c r="P303" s="1">
        <v>0</v>
      </c>
      <c r="Q303" s="1">
        <v>400</v>
      </c>
      <c r="R303" s="1">
        <v>0</v>
      </c>
      <c r="S303" s="1">
        <v>150</v>
      </c>
      <c r="T303" s="1">
        <v>0</v>
      </c>
      <c r="U303" s="1">
        <v>397</v>
      </c>
      <c r="V303" s="1">
        <v>0</v>
      </c>
      <c r="W303" s="1">
        <v>175</v>
      </c>
      <c r="X303" s="1">
        <v>0</v>
      </c>
      <c r="Y303" s="1">
        <v>1201</v>
      </c>
      <c r="Z303" s="1">
        <v>0</v>
      </c>
      <c r="AA303" s="1">
        <v>555</v>
      </c>
      <c r="AB303" s="1">
        <v>9</v>
      </c>
      <c r="AC303" s="1">
        <v>230</v>
      </c>
      <c r="AD303" s="1">
        <v>0</v>
      </c>
      <c r="AE303" s="1">
        <v>401</v>
      </c>
      <c r="AF303" s="1">
        <v>0</v>
      </c>
      <c r="AG303" s="1">
        <v>622</v>
      </c>
      <c r="AH303" s="1">
        <v>0</v>
      </c>
      <c r="AI303" s="1">
        <v>150</v>
      </c>
      <c r="AJ303" s="1">
        <v>0</v>
      </c>
      <c r="AK303" s="1">
        <v>72</v>
      </c>
      <c r="AL303" s="1">
        <v>0</v>
      </c>
      <c r="AM303" s="1">
        <v>938</v>
      </c>
      <c r="AN303" s="1">
        <v>0</v>
      </c>
      <c r="AO303" s="1">
        <v>646</v>
      </c>
      <c r="AP303" s="1">
        <v>98</v>
      </c>
      <c r="AQ303" s="1">
        <v>2791</v>
      </c>
      <c r="AR303" s="1">
        <v>92</v>
      </c>
      <c r="AS303" s="1">
        <v>2022</v>
      </c>
      <c r="AT303" s="1">
        <v>0</v>
      </c>
      <c r="AU303" s="1">
        <v>4211</v>
      </c>
      <c r="AV303" s="1">
        <v>0</v>
      </c>
      <c r="AW303" s="1">
        <v>1022</v>
      </c>
      <c r="AX303" s="1">
        <v>0</v>
      </c>
      <c r="AY303" s="1">
        <v>860</v>
      </c>
      <c r="AZ303" s="1">
        <v>0</v>
      </c>
      <c r="BA303" s="1">
        <v>0</v>
      </c>
    </row>
    <row r="304" spans="1:53">
      <c r="A304" s="19">
        <v>80003</v>
      </c>
      <c r="B304" s="1">
        <v>2024</v>
      </c>
      <c r="C304" s="1">
        <v>15903</v>
      </c>
      <c r="D304" s="1">
        <v>0</v>
      </c>
      <c r="E304" s="1">
        <v>0</v>
      </c>
      <c r="F304" s="1">
        <v>513</v>
      </c>
      <c r="G304" s="1">
        <v>293</v>
      </c>
      <c r="H304" s="1">
        <v>2311</v>
      </c>
      <c r="I304" s="1">
        <v>1493</v>
      </c>
      <c r="J304" s="1">
        <v>989</v>
      </c>
      <c r="K304" s="1">
        <v>642</v>
      </c>
      <c r="L304" s="1">
        <v>0</v>
      </c>
      <c r="M304" s="1">
        <v>104</v>
      </c>
      <c r="N304" s="1">
        <v>0</v>
      </c>
      <c r="O304" s="1">
        <v>464</v>
      </c>
      <c r="P304" s="1">
        <v>57</v>
      </c>
      <c r="Q304" s="1">
        <v>310</v>
      </c>
      <c r="R304" s="1">
        <v>0</v>
      </c>
      <c r="S304" s="1">
        <v>561</v>
      </c>
      <c r="T304" s="1">
        <v>0</v>
      </c>
      <c r="U304" s="1">
        <v>142</v>
      </c>
      <c r="V304" s="1">
        <v>0</v>
      </c>
      <c r="W304" s="1">
        <v>267</v>
      </c>
      <c r="X304" s="1">
        <v>0</v>
      </c>
      <c r="Y304" s="1">
        <v>127</v>
      </c>
      <c r="Z304" s="1">
        <v>0</v>
      </c>
      <c r="AA304" s="1">
        <v>77</v>
      </c>
      <c r="AB304" s="1">
        <v>19</v>
      </c>
      <c r="AC304" s="1">
        <v>312</v>
      </c>
      <c r="AD304" s="1">
        <v>19</v>
      </c>
      <c r="AE304" s="1">
        <v>320</v>
      </c>
      <c r="AF304" s="1">
        <v>0</v>
      </c>
      <c r="AG304" s="1">
        <v>66</v>
      </c>
      <c r="AH304" s="1">
        <v>0</v>
      </c>
      <c r="AI304" s="1">
        <v>0</v>
      </c>
      <c r="AJ304" s="1">
        <v>0</v>
      </c>
      <c r="AK304" s="1">
        <v>703</v>
      </c>
      <c r="AL304" s="1">
        <v>0</v>
      </c>
      <c r="AM304" s="1">
        <v>445</v>
      </c>
      <c r="AN304" s="1">
        <v>0</v>
      </c>
      <c r="AO304" s="1">
        <v>709</v>
      </c>
      <c r="AP304" s="1">
        <v>0</v>
      </c>
      <c r="AQ304" s="1">
        <v>864</v>
      </c>
      <c r="AR304" s="1">
        <v>0</v>
      </c>
      <c r="AS304" s="1">
        <v>1554</v>
      </c>
      <c r="AT304" s="1">
        <v>0</v>
      </c>
      <c r="AU304" s="1">
        <v>544</v>
      </c>
      <c r="AV304" s="1">
        <v>0</v>
      </c>
      <c r="AW304" s="1">
        <v>338</v>
      </c>
      <c r="AX304" s="1">
        <v>0</v>
      </c>
      <c r="AY304" s="1">
        <v>931</v>
      </c>
      <c r="AZ304" s="1">
        <v>0</v>
      </c>
      <c r="BA304" s="1">
        <v>729</v>
      </c>
    </row>
    <row r="305" spans="1:53">
      <c r="A305" s="19">
        <v>81001</v>
      </c>
      <c r="B305" s="1">
        <v>2024</v>
      </c>
      <c r="C305" s="1">
        <v>13857</v>
      </c>
      <c r="D305" s="1">
        <v>0</v>
      </c>
      <c r="E305" s="1">
        <v>0</v>
      </c>
      <c r="F305" s="1">
        <v>367</v>
      </c>
      <c r="G305" s="1">
        <v>92</v>
      </c>
      <c r="H305" s="1">
        <v>460</v>
      </c>
      <c r="I305" s="1">
        <v>906</v>
      </c>
      <c r="J305" s="1">
        <v>400</v>
      </c>
      <c r="K305" s="1">
        <v>15</v>
      </c>
      <c r="L305" s="1">
        <v>2</v>
      </c>
      <c r="M305" s="1">
        <v>0</v>
      </c>
      <c r="N305" s="1">
        <v>0</v>
      </c>
      <c r="O305" s="1">
        <v>395</v>
      </c>
      <c r="P305" s="1">
        <v>22</v>
      </c>
      <c r="Q305" s="1">
        <v>368</v>
      </c>
      <c r="R305" s="1">
        <v>0</v>
      </c>
      <c r="S305" s="1">
        <v>333</v>
      </c>
      <c r="T305" s="1">
        <v>0</v>
      </c>
      <c r="U305" s="1">
        <v>65</v>
      </c>
      <c r="V305" s="1">
        <v>0</v>
      </c>
      <c r="W305" s="1">
        <v>251</v>
      </c>
      <c r="X305" s="1">
        <v>50</v>
      </c>
      <c r="Y305" s="1">
        <v>511</v>
      </c>
      <c r="Z305" s="1">
        <v>0</v>
      </c>
      <c r="AA305" s="1">
        <v>0</v>
      </c>
      <c r="AB305" s="1">
        <v>0</v>
      </c>
      <c r="AC305" s="1">
        <v>295</v>
      </c>
      <c r="AD305" s="1">
        <v>0</v>
      </c>
      <c r="AE305" s="1">
        <v>75</v>
      </c>
      <c r="AF305" s="1">
        <v>0</v>
      </c>
      <c r="AG305" s="1">
        <v>686</v>
      </c>
      <c r="AH305" s="1">
        <v>0</v>
      </c>
      <c r="AI305" s="1">
        <v>0</v>
      </c>
      <c r="AJ305" s="1">
        <v>17</v>
      </c>
      <c r="AK305" s="1">
        <v>76</v>
      </c>
      <c r="AL305" s="1">
        <v>0</v>
      </c>
      <c r="AM305" s="1">
        <v>1</v>
      </c>
      <c r="AN305" s="1">
        <v>0</v>
      </c>
      <c r="AO305" s="1">
        <v>104</v>
      </c>
      <c r="AP305" s="1">
        <v>0</v>
      </c>
      <c r="AQ305" s="1">
        <v>131</v>
      </c>
      <c r="AR305" s="1">
        <v>0</v>
      </c>
      <c r="AS305" s="1">
        <v>1488</v>
      </c>
      <c r="AT305" s="1">
        <v>0</v>
      </c>
      <c r="AU305" s="1">
        <v>3555</v>
      </c>
      <c r="AV305" s="1">
        <v>0</v>
      </c>
      <c r="AW305" s="1">
        <v>1115</v>
      </c>
      <c r="AX305" s="1">
        <v>0</v>
      </c>
      <c r="AY305" s="1">
        <v>2077</v>
      </c>
      <c r="AZ305" s="1">
        <v>0</v>
      </c>
      <c r="BA305" s="1">
        <v>0</v>
      </c>
    </row>
    <row r="306" spans="1:53">
      <c r="A306" s="19">
        <v>81002</v>
      </c>
      <c r="B306" s="1">
        <v>2024</v>
      </c>
      <c r="C306" s="1">
        <v>10216</v>
      </c>
      <c r="D306" s="1">
        <v>0</v>
      </c>
      <c r="E306" s="1">
        <v>0</v>
      </c>
      <c r="F306" s="1">
        <v>0</v>
      </c>
      <c r="G306" s="1">
        <v>160</v>
      </c>
      <c r="H306" s="1">
        <v>394</v>
      </c>
      <c r="I306" s="1">
        <v>880</v>
      </c>
      <c r="J306" s="1">
        <v>183</v>
      </c>
      <c r="K306" s="1">
        <v>49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256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92</v>
      </c>
      <c r="AG306" s="1">
        <v>1159</v>
      </c>
      <c r="AH306" s="1">
        <v>0</v>
      </c>
      <c r="AI306" s="1">
        <v>261</v>
      </c>
      <c r="AJ306" s="1">
        <v>0</v>
      </c>
      <c r="AK306" s="1">
        <v>0</v>
      </c>
      <c r="AL306" s="1">
        <v>0</v>
      </c>
      <c r="AM306" s="1">
        <v>877</v>
      </c>
      <c r="AN306" s="1">
        <v>0</v>
      </c>
      <c r="AO306" s="1">
        <v>184</v>
      </c>
      <c r="AP306" s="1">
        <v>0</v>
      </c>
      <c r="AQ306" s="1">
        <v>0</v>
      </c>
      <c r="AR306" s="1">
        <v>0</v>
      </c>
      <c r="AS306" s="1">
        <v>216</v>
      </c>
      <c r="AT306" s="1">
        <v>0</v>
      </c>
      <c r="AU306" s="1">
        <v>3368</v>
      </c>
      <c r="AV306" s="1">
        <v>0</v>
      </c>
      <c r="AW306" s="1">
        <v>1262</v>
      </c>
      <c r="AX306" s="1">
        <v>0</v>
      </c>
      <c r="AY306" s="1">
        <v>875</v>
      </c>
      <c r="AZ306" s="1">
        <v>0</v>
      </c>
      <c r="BA306" s="1">
        <v>0</v>
      </c>
    </row>
    <row r="307" spans="1:53">
      <c r="A307" s="19">
        <v>81003</v>
      </c>
      <c r="B307" s="1">
        <v>2024</v>
      </c>
      <c r="C307" s="1">
        <v>13356</v>
      </c>
      <c r="D307" s="1">
        <v>0</v>
      </c>
      <c r="E307" s="1">
        <v>0</v>
      </c>
      <c r="F307" s="1">
        <v>460</v>
      </c>
      <c r="G307" s="1">
        <v>37</v>
      </c>
      <c r="H307" s="1">
        <v>979</v>
      </c>
      <c r="I307" s="1">
        <v>468</v>
      </c>
      <c r="J307" s="1">
        <v>84</v>
      </c>
      <c r="K307" s="1">
        <v>414</v>
      </c>
      <c r="L307" s="1">
        <v>0</v>
      </c>
      <c r="M307" s="1">
        <v>30</v>
      </c>
      <c r="N307" s="1">
        <v>0</v>
      </c>
      <c r="O307" s="1">
        <v>800</v>
      </c>
      <c r="P307" s="1">
        <v>0</v>
      </c>
      <c r="Q307" s="1">
        <v>749</v>
      </c>
      <c r="R307" s="1">
        <v>0</v>
      </c>
      <c r="S307" s="1">
        <v>218</v>
      </c>
      <c r="T307" s="1">
        <v>0</v>
      </c>
      <c r="U307" s="1">
        <v>36</v>
      </c>
      <c r="V307" s="1">
        <v>0</v>
      </c>
      <c r="W307" s="1">
        <v>611</v>
      </c>
      <c r="X307" s="1">
        <v>0</v>
      </c>
      <c r="Y307" s="1">
        <v>872</v>
      </c>
      <c r="Z307" s="1">
        <v>0</v>
      </c>
      <c r="AA307" s="1">
        <v>83</v>
      </c>
      <c r="AB307" s="1">
        <v>0</v>
      </c>
      <c r="AC307" s="1">
        <v>0</v>
      </c>
      <c r="AD307" s="1">
        <v>0</v>
      </c>
      <c r="AE307" s="1">
        <v>601</v>
      </c>
      <c r="AF307" s="1">
        <v>0</v>
      </c>
      <c r="AG307" s="1">
        <v>286</v>
      </c>
      <c r="AH307" s="1">
        <v>0</v>
      </c>
      <c r="AI307" s="1">
        <v>102</v>
      </c>
      <c r="AJ307" s="1">
        <v>4</v>
      </c>
      <c r="AK307" s="1">
        <v>232</v>
      </c>
      <c r="AL307" s="1">
        <v>0</v>
      </c>
      <c r="AM307" s="1">
        <v>134</v>
      </c>
      <c r="AN307" s="1">
        <v>0</v>
      </c>
      <c r="AO307" s="1">
        <v>0</v>
      </c>
      <c r="AP307" s="1">
        <v>0</v>
      </c>
      <c r="AQ307" s="1">
        <v>291</v>
      </c>
      <c r="AR307" s="1">
        <v>0</v>
      </c>
      <c r="AS307" s="1">
        <v>1787</v>
      </c>
      <c r="AT307" s="1">
        <v>0</v>
      </c>
      <c r="AU307" s="1">
        <v>2625</v>
      </c>
      <c r="AV307" s="1">
        <v>0</v>
      </c>
      <c r="AW307" s="1">
        <v>480</v>
      </c>
      <c r="AX307" s="1">
        <v>0</v>
      </c>
      <c r="AY307" s="1">
        <v>826</v>
      </c>
      <c r="AZ307" s="1">
        <v>0</v>
      </c>
      <c r="BA307" s="1">
        <v>147</v>
      </c>
    </row>
    <row r="308" spans="1:53">
      <c r="A308" s="19">
        <v>82001</v>
      </c>
      <c r="B308" s="1">
        <v>2024</v>
      </c>
      <c r="C308" s="1">
        <v>18184</v>
      </c>
      <c r="D308" s="1">
        <v>0</v>
      </c>
      <c r="E308" s="1">
        <v>0</v>
      </c>
      <c r="F308" s="1">
        <v>0</v>
      </c>
      <c r="G308" s="1">
        <v>36</v>
      </c>
      <c r="H308" s="1">
        <v>517</v>
      </c>
      <c r="I308" s="1">
        <v>3286</v>
      </c>
      <c r="J308" s="1">
        <v>1073</v>
      </c>
      <c r="K308" s="1">
        <v>147</v>
      </c>
      <c r="L308" s="1">
        <v>187</v>
      </c>
      <c r="M308" s="1">
        <v>253</v>
      </c>
      <c r="N308" s="1">
        <v>7</v>
      </c>
      <c r="O308" s="1">
        <v>84</v>
      </c>
      <c r="P308" s="1">
        <v>381</v>
      </c>
      <c r="Q308" s="1">
        <v>144</v>
      </c>
      <c r="R308" s="1">
        <v>0</v>
      </c>
      <c r="S308" s="1">
        <v>413</v>
      </c>
      <c r="T308" s="1">
        <v>0</v>
      </c>
      <c r="U308" s="1">
        <v>334</v>
      </c>
      <c r="V308" s="1">
        <v>0</v>
      </c>
      <c r="W308" s="1">
        <v>290</v>
      </c>
      <c r="X308" s="1">
        <v>273</v>
      </c>
      <c r="Y308" s="1">
        <v>428</v>
      </c>
      <c r="Z308" s="1">
        <v>0</v>
      </c>
      <c r="AA308" s="1">
        <v>106</v>
      </c>
      <c r="AB308" s="1">
        <v>0</v>
      </c>
      <c r="AC308" s="1">
        <v>94</v>
      </c>
      <c r="AD308" s="1">
        <v>189</v>
      </c>
      <c r="AE308" s="1">
        <v>570</v>
      </c>
      <c r="AF308" s="1">
        <v>360</v>
      </c>
      <c r="AG308" s="1">
        <v>635</v>
      </c>
      <c r="AH308" s="1">
        <v>0</v>
      </c>
      <c r="AI308" s="1">
        <v>78</v>
      </c>
      <c r="AJ308" s="1">
        <v>0</v>
      </c>
      <c r="AK308" s="1">
        <v>51</v>
      </c>
      <c r="AL308" s="1">
        <v>0</v>
      </c>
      <c r="AM308" s="1">
        <v>538</v>
      </c>
      <c r="AN308" s="1">
        <v>0</v>
      </c>
      <c r="AO308" s="1">
        <v>23</v>
      </c>
      <c r="AP308" s="1">
        <v>0</v>
      </c>
      <c r="AQ308" s="1">
        <v>7</v>
      </c>
      <c r="AR308" s="1">
        <v>0</v>
      </c>
      <c r="AS308" s="1">
        <v>1012</v>
      </c>
      <c r="AT308" s="1">
        <v>0</v>
      </c>
      <c r="AU308" s="1">
        <v>3575</v>
      </c>
      <c r="AV308" s="1">
        <v>0</v>
      </c>
      <c r="AW308" s="1">
        <v>1239</v>
      </c>
      <c r="AX308" s="1">
        <v>0</v>
      </c>
      <c r="AY308" s="1">
        <v>747</v>
      </c>
      <c r="AZ308" s="1">
        <v>0</v>
      </c>
      <c r="BA308" s="1">
        <v>1107</v>
      </c>
    </row>
    <row r="309" spans="1:53">
      <c r="A309" s="19">
        <v>82002</v>
      </c>
      <c r="B309" s="1">
        <v>2024</v>
      </c>
      <c r="C309" s="1">
        <v>12373</v>
      </c>
      <c r="D309" s="1">
        <v>0</v>
      </c>
      <c r="E309" s="1">
        <v>0</v>
      </c>
      <c r="F309" s="1">
        <v>35</v>
      </c>
      <c r="G309" s="1">
        <v>66</v>
      </c>
      <c r="H309" s="1">
        <v>785</v>
      </c>
      <c r="I309" s="1">
        <v>1786</v>
      </c>
      <c r="J309" s="1">
        <v>913</v>
      </c>
      <c r="K309" s="1">
        <v>133</v>
      </c>
      <c r="L309" s="1">
        <v>0</v>
      </c>
      <c r="M309" s="1">
        <v>0</v>
      </c>
      <c r="N309" s="1">
        <v>0</v>
      </c>
      <c r="O309" s="1">
        <v>91</v>
      </c>
      <c r="P309" s="1">
        <v>0</v>
      </c>
      <c r="Q309" s="1">
        <v>122</v>
      </c>
      <c r="R309" s="1">
        <v>0</v>
      </c>
      <c r="S309" s="1">
        <v>194</v>
      </c>
      <c r="T309" s="1">
        <v>37</v>
      </c>
      <c r="U309" s="1">
        <v>76</v>
      </c>
      <c r="V309" s="1">
        <v>0</v>
      </c>
      <c r="W309" s="1">
        <v>760</v>
      </c>
      <c r="X309" s="1">
        <v>0</v>
      </c>
      <c r="Y309" s="1">
        <v>35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212</v>
      </c>
      <c r="AH309" s="1">
        <v>0</v>
      </c>
      <c r="AI309" s="1">
        <v>182</v>
      </c>
      <c r="AJ309" s="1">
        <v>26</v>
      </c>
      <c r="AK309" s="1">
        <v>380</v>
      </c>
      <c r="AL309" s="1">
        <v>0</v>
      </c>
      <c r="AM309" s="1">
        <v>554</v>
      </c>
      <c r="AN309" s="1">
        <v>0</v>
      </c>
      <c r="AO309" s="1">
        <v>354</v>
      </c>
      <c r="AP309" s="1">
        <v>0</v>
      </c>
      <c r="AQ309" s="1">
        <v>278</v>
      </c>
      <c r="AR309" s="1">
        <v>0</v>
      </c>
      <c r="AS309" s="1">
        <v>849</v>
      </c>
      <c r="AT309" s="1">
        <v>0</v>
      </c>
      <c r="AU309" s="1">
        <v>1299</v>
      </c>
      <c r="AV309" s="1">
        <v>0</v>
      </c>
      <c r="AW309" s="1">
        <v>962</v>
      </c>
      <c r="AX309" s="1">
        <v>0</v>
      </c>
      <c r="AY309" s="1">
        <v>1519</v>
      </c>
      <c r="AZ309" s="1">
        <v>0</v>
      </c>
      <c r="BA309" s="1">
        <v>725</v>
      </c>
    </row>
    <row r="310" spans="1:53">
      <c r="A310" s="19">
        <v>82003</v>
      </c>
      <c r="B310" s="1">
        <v>2024</v>
      </c>
      <c r="C310" s="1">
        <v>12879</v>
      </c>
      <c r="D310" s="1">
        <v>0</v>
      </c>
      <c r="E310" s="1">
        <v>0</v>
      </c>
      <c r="F310" s="1">
        <v>375</v>
      </c>
      <c r="G310" s="1">
        <v>82</v>
      </c>
      <c r="H310" s="1">
        <v>727</v>
      </c>
      <c r="I310" s="1">
        <v>1177</v>
      </c>
      <c r="J310" s="1">
        <v>479</v>
      </c>
      <c r="K310" s="1">
        <v>184</v>
      </c>
      <c r="L310" s="1">
        <v>0</v>
      </c>
      <c r="M310" s="1">
        <v>16</v>
      </c>
      <c r="N310" s="1">
        <v>0</v>
      </c>
      <c r="O310" s="1">
        <v>148</v>
      </c>
      <c r="P310" s="1">
        <v>34</v>
      </c>
      <c r="Q310" s="1">
        <v>96</v>
      </c>
      <c r="R310" s="1">
        <v>19</v>
      </c>
      <c r="S310" s="1">
        <v>461</v>
      </c>
      <c r="T310" s="1">
        <v>0</v>
      </c>
      <c r="U310" s="1">
        <v>77</v>
      </c>
      <c r="V310" s="1">
        <v>0</v>
      </c>
      <c r="W310" s="1">
        <v>298</v>
      </c>
      <c r="X310" s="1">
        <v>0</v>
      </c>
      <c r="Y310" s="1">
        <v>724</v>
      </c>
      <c r="Z310" s="1">
        <v>106</v>
      </c>
      <c r="AA310" s="1">
        <v>110</v>
      </c>
      <c r="AB310" s="1">
        <v>12</v>
      </c>
      <c r="AC310" s="1">
        <v>0</v>
      </c>
      <c r="AD310" s="1">
        <v>21</v>
      </c>
      <c r="AE310" s="1">
        <v>290</v>
      </c>
      <c r="AF310" s="1">
        <v>0</v>
      </c>
      <c r="AG310" s="1">
        <v>397</v>
      </c>
      <c r="AH310" s="1">
        <v>0</v>
      </c>
      <c r="AI310" s="1">
        <v>209</v>
      </c>
      <c r="AJ310" s="1">
        <v>61</v>
      </c>
      <c r="AK310" s="1">
        <v>697</v>
      </c>
      <c r="AL310" s="1">
        <v>0</v>
      </c>
      <c r="AM310" s="1">
        <v>442</v>
      </c>
      <c r="AN310" s="1">
        <v>0</v>
      </c>
      <c r="AO310" s="1">
        <v>397</v>
      </c>
      <c r="AP310" s="1">
        <v>0</v>
      </c>
      <c r="AQ310" s="1">
        <v>30</v>
      </c>
      <c r="AR310" s="1">
        <v>0</v>
      </c>
      <c r="AS310" s="1">
        <v>683</v>
      </c>
      <c r="AT310" s="1">
        <v>0</v>
      </c>
      <c r="AU310" s="1">
        <v>2170</v>
      </c>
      <c r="AV310" s="1">
        <v>0</v>
      </c>
      <c r="AW310" s="1">
        <v>885</v>
      </c>
      <c r="AX310" s="1">
        <v>0</v>
      </c>
      <c r="AY310" s="1">
        <v>895</v>
      </c>
      <c r="AZ310" s="1">
        <v>0</v>
      </c>
      <c r="BA310" s="1">
        <v>577</v>
      </c>
    </row>
    <row r="311" spans="1:53">
      <c r="A311" s="19">
        <v>82005</v>
      </c>
      <c r="B311" s="1">
        <v>2024</v>
      </c>
      <c r="C311" s="1">
        <v>22553</v>
      </c>
      <c r="D311" s="1">
        <v>0</v>
      </c>
      <c r="E311" s="1">
        <v>0</v>
      </c>
      <c r="F311" s="1">
        <v>28</v>
      </c>
      <c r="G311" s="1">
        <v>566</v>
      </c>
      <c r="H311" s="1">
        <v>2214</v>
      </c>
      <c r="I311" s="1">
        <v>1143</v>
      </c>
      <c r="J311" s="1">
        <v>738</v>
      </c>
      <c r="K311" s="1">
        <v>302</v>
      </c>
      <c r="L311" s="1">
        <v>0</v>
      </c>
      <c r="M311" s="1">
        <v>0</v>
      </c>
      <c r="N311" s="1">
        <v>0</v>
      </c>
      <c r="O311" s="1">
        <v>91</v>
      </c>
      <c r="P311" s="1">
        <v>0</v>
      </c>
      <c r="Q311" s="1">
        <v>0</v>
      </c>
      <c r="R311" s="1">
        <v>0</v>
      </c>
      <c r="S311" s="1">
        <v>40</v>
      </c>
      <c r="T311" s="1">
        <v>0</v>
      </c>
      <c r="U311" s="1">
        <v>477</v>
      </c>
      <c r="V311" s="1">
        <v>37</v>
      </c>
      <c r="W311" s="1">
        <v>1155</v>
      </c>
      <c r="X311" s="1">
        <v>0</v>
      </c>
      <c r="Y311" s="1">
        <v>363</v>
      </c>
      <c r="Z311" s="1">
        <v>0</v>
      </c>
      <c r="AA311" s="1">
        <v>135</v>
      </c>
      <c r="AB311" s="1">
        <v>0</v>
      </c>
      <c r="AC311" s="1">
        <v>389</v>
      </c>
      <c r="AD311" s="1">
        <v>0</v>
      </c>
      <c r="AE311" s="1">
        <v>723</v>
      </c>
      <c r="AF311" s="1">
        <v>0</v>
      </c>
      <c r="AG311" s="1">
        <v>768</v>
      </c>
      <c r="AH311" s="1">
        <v>0</v>
      </c>
      <c r="AI311" s="1">
        <v>79</v>
      </c>
      <c r="AJ311" s="1">
        <v>0</v>
      </c>
      <c r="AK311" s="1">
        <v>782</v>
      </c>
      <c r="AL311" s="1">
        <v>0</v>
      </c>
      <c r="AM311" s="1">
        <v>2393</v>
      </c>
      <c r="AN311" s="1">
        <v>0</v>
      </c>
      <c r="AO311" s="1">
        <v>970</v>
      </c>
      <c r="AP311" s="1">
        <v>0</v>
      </c>
      <c r="AQ311" s="1">
        <v>2469</v>
      </c>
      <c r="AR311" s="1">
        <v>43</v>
      </c>
      <c r="AS311" s="1">
        <v>3221</v>
      </c>
      <c r="AT311" s="1">
        <v>0</v>
      </c>
      <c r="AU311" s="1">
        <v>1952</v>
      </c>
      <c r="AV311" s="1">
        <v>0</v>
      </c>
      <c r="AW311" s="1">
        <v>860</v>
      </c>
      <c r="AX311" s="1">
        <v>0</v>
      </c>
      <c r="AY311" s="1">
        <v>615</v>
      </c>
      <c r="AZ311" s="1">
        <v>0</v>
      </c>
      <c r="BA311" s="1">
        <v>0</v>
      </c>
    </row>
    <row r="312" spans="1:53">
      <c r="A312" s="19">
        <v>82006</v>
      </c>
      <c r="B312" s="1">
        <v>2024</v>
      </c>
      <c r="C312" s="1">
        <v>35898</v>
      </c>
      <c r="D312" s="1">
        <v>0</v>
      </c>
      <c r="E312" s="1">
        <v>0</v>
      </c>
      <c r="F312" s="1">
        <v>366</v>
      </c>
      <c r="G312" s="1">
        <v>623</v>
      </c>
      <c r="H312" s="1">
        <v>4251</v>
      </c>
      <c r="I312" s="1">
        <v>6866</v>
      </c>
      <c r="J312" s="1">
        <v>559</v>
      </c>
      <c r="K312" s="1">
        <v>225</v>
      </c>
      <c r="L312" s="1">
        <v>0</v>
      </c>
      <c r="M312" s="1">
        <v>14</v>
      </c>
      <c r="N312" s="1">
        <v>39</v>
      </c>
      <c r="O312" s="1">
        <v>416</v>
      </c>
      <c r="P312" s="1">
        <v>60</v>
      </c>
      <c r="Q312" s="1">
        <v>40</v>
      </c>
      <c r="R312" s="1">
        <v>0</v>
      </c>
      <c r="S312" s="1">
        <v>73</v>
      </c>
      <c r="T312" s="1">
        <v>0</v>
      </c>
      <c r="U312" s="1">
        <v>532</v>
      </c>
      <c r="V312" s="1">
        <v>162</v>
      </c>
      <c r="W312" s="1">
        <v>1659</v>
      </c>
      <c r="X312" s="1">
        <v>236</v>
      </c>
      <c r="Y312" s="1">
        <v>1439</v>
      </c>
      <c r="Z312" s="1">
        <v>76</v>
      </c>
      <c r="AA312" s="1">
        <v>95</v>
      </c>
      <c r="AB312" s="1">
        <v>0</v>
      </c>
      <c r="AC312" s="1">
        <v>690</v>
      </c>
      <c r="AD312" s="1">
        <v>267</v>
      </c>
      <c r="AE312" s="1">
        <v>913</v>
      </c>
      <c r="AF312" s="1">
        <v>176</v>
      </c>
      <c r="AG312" s="1">
        <v>601</v>
      </c>
      <c r="AH312" s="1">
        <v>0</v>
      </c>
      <c r="AI312" s="1">
        <v>94</v>
      </c>
      <c r="AJ312" s="1">
        <v>0</v>
      </c>
      <c r="AK312" s="1">
        <v>424</v>
      </c>
      <c r="AL312" s="1">
        <v>0</v>
      </c>
      <c r="AM312" s="1">
        <v>686</v>
      </c>
      <c r="AN312" s="1">
        <v>0</v>
      </c>
      <c r="AO312" s="1">
        <v>778</v>
      </c>
      <c r="AP312" s="1">
        <v>0</v>
      </c>
      <c r="AQ312" s="1">
        <v>3868</v>
      </c>
      <c r="AR312" s="1">
        <v>0</v>
      </c>
      <c r="AS312" s="1">
        <v>3247</v>
      </c>
      <c r="AT312" s="1">
        <v>0</v>
      </c>
      <c r="AU312" s="1">
        <v>3181</v>
      </c>
      <c r="AV312" s="1">
        <v>0</v>
      </c>
      <c r="AW312" s="1">
        <v>1302</v>
      </c>
      <c r="AX312" s="1">
        <v>0</v>
      </c>
      <c r="AY312" s="1">
        <v>1940</v>
      </c>
      <c r="AZ312" s="1">
        <v>0</v>
      </c>
      <c r="BA312" s="1">
        <v>0</v>
      </c>
    </row>
    <row r="313" spans="1:53">
      <c r="A313" s="19">
        <v>82007</v>
      </c>
      <c r="B313" s="1">
        <v>2024</v>
      </c>
      <c r="C313" s="1">
        <v>32797</v>
      </c>
      <c r="D313" s="1">
        <v>0</v>
      </c>
      <c r="E313" s="1">
        <v>0</v>
      </c>
      <c r="F313" s="1">
        <v>59</v>
      </c>
      <c r="G313" s="1">
        <v>130</v>
      </c>
      <c r="H313" s="1">
        <v>619</v>
      </c>
      <c r="I313" s="1">
        <v>1875</v>
      </c>
      <c r="J313" s="1">
        <v>1582</v>
      </c>
      <c r="K313" s="1">
        <v>215</v>
      </c>
      <c r="L313" s="1">
        <v>0</v>
      </c>
      <c r="M313" s="1">
        <v>0</v>
      </c>
      <c r="N313" s="1">
        <v>112</v>
      </c>
      <c r="O313" s="1">
        <v>62</v>
      </c>
      <c r="P313" s="1">
        <v>10</v>
      </c>
      <c r="Q313" s="1">
        <v>244</v>
      </c>
      <c r="R313" s="1">
        <v>0</v>
      </c>
      <c r="S313" s="1">
        <v>431</v>
      </c>
      <c r="T313" s="1">
        <v>30</v>
      </c>
      <c r="U313" s="1">
        <v>955</v>
      </c>
      <c r="V313" s="1">
        <v>0</v>
      </c>
      <c r="W313" s="1">
        <v>918</v>
      </c>
      <c r="X313" s="1">
        <v>225</v>
      </c>
      <c r="Y313" s="1">
        <v>2625</v>
      </c>
      <c r="Z313" s="1">
        <v>0</v>
      </c>
      <c r="AA313" s="1">
        <v>207</v>
      </c>
      <c r="AB313" s="1">
        <v>0</v>
      </c>
      <c r="AC313" s="1">
        <v>219</v>
      </c>
      <c r="AD313" s="1">
        <v>24</v>
      </c>
      <c r="AE313" s="1">
        <v>507</v>
      </c>
      <c r="AF313" s="1">
        <v>61</v>
      </c>
      <c r="AG313" s="1">
        <v>2461</v>
      </c>
      <c r="AH313" s="1">
        <v>0</v>
      </c>
      <c r="AI313" s="1">
        <v>34</v>
      </c>
      <c r="AJ313" s="1">
        <v>183</v>
      </c>
      <c r="AK313" s="1">
        <v>177</v>
      </c>
      <c r="AL313" s="1">
        <v>0</v>
      </c>
      <c r="AM313" s="1">
        <v>2168</v>
      </c>
      <c r="AN313" s="1">
        <v>0</v>
      </c>
      <c r="AO313" s="1">
        <v>869</v>
      </c>
      <c r="AP313" s="1">
        <v>0</v>
      </c>
      <c r="AQ313" s="1">
        <v>958</v>
      </c>
      <c r="AR313" s="1">
        <v>0</v>
      </c>
      <c r="AS313" s="1">
        <v>2877</v>
      </c>
      <c r="AT313" s="1">
        <v>0</v>
      </c>
      <c r="AU313" s="1">
        <v>9476</v>
      </c>
      <c r="AV313" s="1">
        <v>0</v>
      </c>
      <c r="AW313" s="1">
        <v>1798</v>
      </c>
      <c r="AX313" s="1">
        <v>0</v>
      </c>
      <c r="AY313" s="1">
        <v>575</v>
      </c>
      <c r="AZ313" s="1">
        <v>0</v>
      </c>
      <c r="BA313" s="1">
        <v>111</v>
      </c>
    </row>
    <row r="314" spans="1:53">
      <c r="A314" s="19">
        <v>82008</v>
      </c>
      <c r="B314" s="1">
        <v>2024</v>
      </c>
      <c r="C314" s="1">
        <v>19049</v>
      </c>
      <c r="D314" s="1">
        <v>0</v>
      </c>
      <c r="E314" s="1">
        <v>4</v>
      </c>
      <c r="F314" s="1">
        <v>61</v>
      </c>
      <c r="G314" s="1">
        <v>250</v>
      </c>
      <c r="H314" s="1">
        <v>3552</v>
      </c>
      <c r="I314" s="1">
        <v>5213</v>
      </c>
      <c r="J314" s="1">
        <v>1450</v>
      </c>
      <c r="K314" s="1">
        <v>120</v>
      </c>
      <c r="L314" s="1">
        <v>0</v>
      </c>
      <c r="M314" s="1">
        <v>0</v>
      </c>
      <c r="N314" s="1">
        <v>0</v>
      </c>
      <c r="O314" s="1">
        <v>24</v>
      </c>
      <c r="P314" s="1">
        <v>70</v>
      </c>
      <c r="Q314" s="1">
        <v>154</v>
      </c>
      <c r="R314" s="1">
        <v>0</v>
      </c>
      <c r="S314" s="1">
        <v>342</v>
      </c>
      <c r="T314" s="1">
        <v>0</v>
      </c>
      <c r="U314" s="1">
        <v>44</v>
      </c>
      <c r="V314" s="1">
        <v>0</v>
      </c>
      <c r="W314" s="1">
        <v>373</v>
      </c>
      <c r="X314" s="1">
        <v>107</v>
      </c>
      <c r="Y314" s="1">
        <v>61</v>
      </c>
      <c r="Z314" s="1">
        <v>0</v>
      </c>
      <c r="AA314" s="1">
        <v>6</v>
      </c>
      <c r="AB314" s="1">
        <v>0</v>
      </c>
      <c r="AC314" s="1">
        <v>0</v>
      </c>
      <c r="AD314" s="1">
        <v>0</v>
      </c>
      <c r="AE314" s="1">
        <v>349</v>
      </c>
      <c r="AF314" s="1">
        <v>19</v>
      </c>
      <c r="AG314" s="1">
        <v>694</v>
      </c>
      <c r="AH314" s="1">
        <v>0</v>
      </c>
      <c r="AI314" s="1">
        <v>26</v>
      </c>
      <c r="AJ314" s="1">
        <v>0</v>
      </c>
      <c r="AK314" s="1">
        <v>182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262</v>
      </c>
      <c r="AR314" s="1">
        <v>0</v>
      </c>
      <c r="AS314" s="1">
        <v>1109</v>
      </c>
      <c r="AT314" s="1">
        <v>0</v>
      </c>
      <c r="AU314" s="1">
        <v>1790</v>
      </c>
      <c r="AV314" s="1">
        <v>0</v>
      </c>
      <c r="AW314" s="1">
        <v>712</v>
      </c>
      <c r="AX314" s="1">
        <v>0</v>
      </c>
      <c r="AY314" s="1">
        <v>823</v>
      </c>
      <c r="AZ314" s="1">
        <v>0</v>
      </c>
      <c r="BA314" s="1">
        <v>1252</v>
      </c>
    </row>
    <row r="315" spans="1:53">
      <c r="A315" s="19">
        <v>82009</v>
      </c>
      <c r="B315" s="1">
        <v>2024</v>
      </c>
      <c r="C315" s="1">
        <v>12811</v>
      </c>
      <c r="D315" s="1">
        <v>0</v>
      </c>
      <c r="E315" s="1">
        <v>0</v>
      </c>
      <c r="F315" s="1">
        <v>44</v>
      </c>
      <c r="G315" s="1">
        <v>82</v>
      </c>
      <c r="H315" s="1">
        <v>333</v>
      </c>
      <c r="I315" s="1">
        <v>604</v>
      </c>
      <c r="J315" s="1">
        <v>201</v>
      </c>
      <c r="K315" s="1">
        <v>36</v>
      </c>
      <c r="L315" s="1">
        <v>0</v>
      </c>
      <c r="M315" s="1">
        <v>0</v>
      </c>
      <c r="N315" s="1">
        <v>0</v>
      </c>
      <c r="O315" s="1">
        <v>11</v>
      </c>
      <c r="P315" s="1">
        <v>0</v>
      </c>
      <c r="Q315" s="1">
        <v>22</v>
      </c>
      <c r="R315" s="1">
        <v>16</v>
      </c>
      <c r="S315" s="1">
        <v>84</v>
      </c>
      <c r="T315" s="1">
        <v>5</v>
      </c>
      <c r="U315" s="1">
        <v>0</v>
      </c>
      <c r="V315" s="1">
        <v>0</v>
      </c>
      <c r="W315" s="1">
        <v>500</v>
      </c>
      <c r="X315" s="1">
        <v>0</v>
      </c>
      <c r="Y315" s="1">
        <v>539</v>
      </c>
      <c r="Z315" s="1">
        <v>0</v>
      </c>
      <c r="AA315" s="1">
        <v>0</v>
      </c>
      <c r="AB315" s="1">
        <v>213</v>
      </c>
      <c r="AC315" s="1">
        <v>184</v>
      </c>
      <c r="AD315" s="1">
        <v>0</v>
      </c>
      <c r="AE315" s="1">
        <v>485</v>
      </c>
      <c r="AF315" s="1">
        <v>15</v>
      </c>
      <c r="AG315" s="1">
        <v>719</v>
      </c>
      <c r="AH315" s="1">
        <v>0</v>
      </c>
      <c r="AI315" s="1">
        <v>93</v>
      </c>
      <c r="AJ315" s="1">
        <v>0</v>
      </c>
      <c r="AK315" s="1">
        <v>156</v>
      </c>
      <c r="AL315" s="1">
        <v>0</v>
      </c>
      <c r="AM315" s="1">
        <v>951</v>
      </c>
      <c r="AN315" s="1">
        <v>0</v>
      </c>
      <c r="AO315" s="1">
        <v>31</v>
      </c>
      <c r="AP315" s="1">
        <v>0</v>
      </c>
      <c r="AQ315" s="1">
        <v>1083</v>
      </c>
      <c r="AR315" s="1">
        <v>0</v>
      </c>
      <c r="AS315" s="1">
        <v>1448</v>
      </c>
      <c r="AT315" s="1">
        <v>0</v>
      </c>
      <c r="AU315" s="1">
        <v>3657</v>
      </c>
      <c r="AV315" s="1">
        <v>0</v>
      </c>
      <c r="AW315" s="1">
        <v>895</v>
      </c>
      <c r="AX315" s="1">
        <v>0</v>
      </c>
      <c r="AY315" s="1">
        <v>404</v>
      </c>
      <c r="AZ315" s="1">
        <v>0</v>
      </c>
      <c r="BA315" s="1">
        <v>0</v>
      </c>
    </row>
    <row r="316" spans="1:53">
      <c r="A316" s="19">
        <v>83001</v>
      </c>
      <c r="B316" s="1">
        <v>2024</v>
      </c>
      <c r="C316" s="1">
        <v>11262</v>
      </c>
      <c r="D316" s="1">
        <v>0</v>
      </c>
      <c r="E316" s="1">
        <v>0</v>
      </c>
      <c r="F316" s="1">
        <v>384</v>
      </c>
      <c r="G316" s="1">
        <v>65</v>
      </c>
      <c r="H316" s="1">
        <v>304</v>
      </c>
      <c r="I316" s="1">
        <v>737</v>
      </c>
      <c r="J316" s="1">
        <v>332</v>
      </c>
      <c r="K316" s="1">
        <v>298</v>
      </c>
      <c r="L316" s="1">
        <v>0</v>
      </c>
      <c r="M316" s="1">
        <v>222</v>
      </c>
      <c r="N316" s="1">
        <v>0</v>
      </c>
      <c r="O316" s="1">
        <v>193</v>
      </c>
      <c r="P316" s="1">
        <v>0</v>
      </c>
      <c r="Q316" s="1">
        <v>163</v>
      </c>
      <c r="R316" s="1">
        <v>0</v>
      </c>
      <c r="S316" s="1">
        <v>373</v>
      </c>
      <c r="T316" s="1">
        <v>0</v>
      </c>
      <c r="U316" s="1">
        <v>0</v>
      </c>
      <c r="V316" s="1">
        <v>0</v>
      </c>
      <c r="W316" s="1">
        <v>111</v>
      </c>
      <c r="X316" s="1">
        <v>0</v>
      </c>
      <c r="Y316" s="1">
        <v>95</v>
      </c>
      <c r="Z316" s="1">
        <v>0</v>
      </c>
      <c r="AA316" s="1">
        <v>123</v>
      </c>
      <c r="AB316" s="1">
        <v>0</v>
      </c>
      <c r="AC316" s="1">
        <v>6</v>
      </c>
      <c r="AD316" s="1">
        <v>0</v>
      </c>
      <c r="AE316" s="1">
        <v>332</v>
      </c>
      <c r="AF316" s="1">
        <v>0</v>
      </c>
      <c r="AG316" s="1">
        <v>329</v>
      </c>
      <c r="AH316" s="1">
        <v>0</v>
      </c>
      <c r="AI316" s="1">
        <v>104</v>
      </c>
      <c r="AJ316" s="1">
        <v>24</v>
      </c>
      <c r="AK316" s="1">
        <v>390</v>
      </c>
      <c r="AL316" s="1">
        <v>0</v>
      </c>
      <c r="AM316" s="1">
        <v>446</v>
      </c>
      <c r="AN316" s="1">
        <v>0</v>
      </c>
      <c r="AO316" s="1">
        <v>350</v>
      </c>
      <c r="AP316" s="1">
        <v>0</v>
      </c>
      <c r="AQ316" s="1">
        <v>277</v>
      </c>
      <c r="AR316" s="1">
        <v>0</v>
      </c>
      <c r="AS316" s="1">
        <v>658</v>
      </c>
      <c r="AT316" s="1">
        <v>0</v>
      </c>
      <c r="AU316" s="1">
        <v>2507</v>
      </c>
      <c r="AV316" s="1">
        <v>0</v>
      </c>
      <c r="AW316" s="1">
        <v>1390</v>
      </c>
      <c r="AX316" s="1">
        <v>0</v>
      </c>
      <c r="AY316" s="1">
        <v>977</v>
      </c>
      <c r="AZ316" s="1">
        <v>0</v>
      </c>
      <c r="BA316" s="1">
        <v>72</v>
      </c>
    </row>
    <row r="317" spans="1:53">
      <c r="A317" s="19">
        <v>83002</v>
      </c>
      <c r="B317" s="1">
        <v>2024</v>
      </c>
      <c r="C317" s="1">
        <v>13336</v>
      </c>
      <c r="D317" s="1">
        <v>0</v>
      </c>
      <c r="E317" s="1">
        <v>0</v>
      </c>
      <c r="F317" s="1">
        <v>36</v>
      </c>
      <c r="G317" s="1">
        <v>0</v>
      </c>
      <c r="H317" s="1">
        <v>173</v>
      </c>
      <c r="I317" s="1">
        <v>653</v>
      </c>
      <c r="J317" s="1">
        <v>399</v>
      </c>
      <c r="K317" s="1">
        <v>138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91</v>
      </c>
      <c r="R317" s="1">
        <v>0</v>
      </c>
      <c r="S317" s="1">
        <v>269</v>
      </c>
      <c r="T317" s="1">
        <v>0</v>
      </c>
      <c r="U317" s="1">
        <v>72</v>
      </c>
      <c r="V317" s="1">
        <v>0</v>
      </c>
      <c r="W317" s="1">
        <v>0</v>
      </c>
      <c r="X317" s="1">
        <v>0</v>
      </c>
      <c r="Y317" s="1">
        <v>1045</v>
      </c>
      <c r="Z317" s="1">
        <v>0</v>
      </c>
      <c r="AA317" s="1">
        <v>194</v>
      </c>
      <c r="AB317" s="1">
        <v>0</v>
      </c>
      <c r="AC317" s="1">
        <v>1</v>
      </c>
      <c r="AD317" s="1">
        <v>0</v>
      </c>
      <c r="AE317" s="1">
        <v>157</v>
      </c>
      <c r="AF317" s="1">
        <v>0</v>
      </c>
      <c r="AG317" s="1">
        <v>1120</v>
      </c>
      <c r="AH317" s="1">
        <v>0</v>
      </c>
      <c r="AI317" s="1">
        <v>1027</v>
      </c>
      <c r="AJ317" s="1">
        <v>0</v>
      </c>
      <c r="AK317" s="1">
        <v>92</v>
      </c>
      <c r="AL317" s="1">
        <v>0</v>
      </c>
      <c r="AM317" s="1">
        <v>1586</v>
      </c>
      <c r="AN317" s="1">
        <v>0</v>
      </c>
      <c r="AO317" s="1">
        <v>22</v>
      </c>
      <c r="AP317" s="1">
        <v>0</v>
      </c>
      <c r="AQ317" s="1">
        <v>1337</v>
      </c>
      <c r="AR317" s="1">
        <v>0</v>
      </c>
      <c r="AS317" s="1">
        <v>364</v>
      </c>
      <c r="AT317" s="1">
        <v>0</v>
      </c>
      <c r="AU317" s="1">
        <v>1795</v>
      </c>
      <c r="AV317" s="1">
        <v>0</v>
      </c>
      <c r="AW317" s="1">
        <v>2092</v>
      </c>
      <c r="AX317" s="1">
        <v>0</v>
      </c>
      <c r="AY317" s="1">
        <v>673</v>
      </c>
      <c r="AZ317" s="1">
        <v>0</v>
      </c>
      <c r="BA317" s="1">
        <v>0</v>
      </c>
    </row>
    <row r="318" spans="1:53">
      <c r="A318" s="19">
        <v>84001</v>
      </c>
      <c r="B318" s="1">
        <v>2024</v>
      </c>
      <c r="C318" s="1">
        <v>12615</v>
      </c>
      <c r="D318" s="1">
        <v>0</v>
      </c>
      <c r="E318" s="1">
        <v>0</v>
      </c>
      <c r="F318" s="1">
        <v>0</v>
      </c>
      <c r="G318" s="1">
        <v>0</v>
      </c>
      <c r="H318" s="1">
        <v>85</v>
      </c>
      <c r="I318" s="1">
        <v>43</v>
      </c>
      <c r="J318" s="1">
        <v>0</v>
      </c>
      <c r="K318" s="1">
        <v>0</v>
      </c>
      <c r="L318" s="1">
        <v>0</v>
      </c>
      <c r="M318" s="1">
        <v>0</v>
      </c>
      <c r="N318" s="1">
        <v>87</v>
      </c>
      <c r="O318" s="1">
        <v>302</v>
      </c>
      <c r="P318" s="1">
        <v>0</v>
      </c>
      <c r="Q318" s="1">
        <v>146</v>
      </c>
      <c r="R318" s="1">
        <v>0</v>
      </c>
      <c r="S318" s="1">
        <v>366</v>
      </c>
      <c r="T318" s="1">
        <v>0</v>
      </c>
      <c r="U318" s="1">
        <v>330</v>
      </c>
      <c r="V318" s="1">
        <v>0</v>
      </c>
      <c r="W318" s="1">
        <v>999</v>
      </c>
      <c r="X318" s="1">
        <v>0</v>
      </c>
      <c r="Y318" s="1">
        <v>655</v>
      </c>
      <c r="Z318" s="1">
        <v>0</v>
      </c>
      <c r="AA318" s="1">
        <v>193</v>
      </c>
      <c r="AB318" s="1">
        <v>0</v>
      </c>
      <c r="AC318" s="1">
        <v>190</v>
      </c>
      <c r="AD318" s="1">
        <v>92</v>
      </c>
      <c r="AE318" s="1">
        <v>3</v>
      </c>
      <c r="AF318" s="1">
        <v>0</v>
      </c>
      <c r="AG318" s="1">
        <v>1854</v>
      </c>
      <c r="AH318" s="1">
        <v>0</v>
      </c>
      <c r="AI318" s="1">
        <v>227</v>
      </c>
      <c r="AJ318" s="1">
        <v>0</v>
      </c>
      <c r="AK318" s="1">
        <v>79</v>
      </c>
      <c r="AL318" s="1">
        <v>0</v>
      </c>
      <c r="AM318" s="1">
        <v>306</v>
      </c>
      <c r="AN318" s="1">
        <v>0</v>
      </c>
      <c r="AO318" s="1">
        <v>159</v>
      </c>
      <c r="AP318" s="1">
        <v>0</v>
      </c>
      <c r="AQ318" s="1">
        <v>967</v>
      </c>
      <c r="AR318" s="1">
        <v>0</v>
      </c>
      <c r="AS318" s="1">
        <v>412</v>
      </c>
      <c r="AT318" s="1">
        <v>0</v>
      </c>
      <c r="AU318" s="1">
        <v>2093</v>
      </c>
      <c r="AV318" s="1">
        <v>0</v>
      </c>
      <c r="AW318" s="1">
        <v>1261</v>
      </c>
      <c r="AX318" s="1">
        <v>0</v>
      </c>
      <c r="AY318" s="1">
        <v>1766</v>
      </c>
      <c r="AZ318" s="1">
        <v>0</v>
      </c>
      <c r="BA318" s="1">
        <v>0</v>
      </c>
    </row>
    <row r="319" spans="1:53">
      <c r="A319" s="19">
        <v>85001</v>
      </c>
      <c r="B319" s="1">
        <v>2024</v>
      </c>
      <c r="C319" s="1">
        <v>14813</v>
      </c>
      <c r="D319" s="1">
        <v>0</v>
      </c>
      <c r="E319" s="1">
        <v>0</v>
      </c>
      <c r="F319" s="1">
        <v>0</v>
      </c>
      <c r="G319" s="1">
        <v>86</v>
      </c>
      <c r="H319" s="1">
        <v>715</v>
      </c>
      <c r="I319" s="1">
        <v>1151</v>
      </c>
      <c r="J319" s="1">
        <v>236</v>
      </c>
      <c r="K319" s="1">
        <v>169</v>
      </c>
      <c r="L319" s="1">
        <v>0</v>
      </c>
      <c r="M319" s="1">
        <v>53</v>
      </c>
      <c r="N319" s="1">
        <v>0</v>
      </c>
      <c r="O319" s="1">
        <v>171</v>
      </c>
      <c r="P319" s="1">
        <v>183</v>
      </c>
      <c r="Q319" s="1">
        <v>333</v>
      </c>
      <c r="R319" s="1">
        <v>0</v>
      </c>
      <c r="S319" s="1">
        <v>212</v>
      </c>
      <c r="T319" s="1">
        <v>0</v>
      </c>
      <c r="U319" s="1">
        <v>92</v>
      </c>
      <c r="V319" s="1">
        <v>3</v>
      </c>
      <c r="W319" s="1">
        <v>498</v>
      </c>
      <c r="X319" s="1">
        <v>0</v>
      </c>
      <c r="Y319" s="1">
        <v>541</v>
      </c>
      <c r="Z319" s="1">
        <v>0</v>
      </c>
      <c r="AA319" s="1">
        <v>300</v>
      </c>
      <c r="AB319" s="1">
        <v>0</v>
      </c>
      <c r="AC319" s="1">
        <v>92</v>
      </c>
      <c r="AD319" s="1">
        <v>0</v>
      </c>
      <c r="AE319" s="1">
        <v>179</v>
      </c>
      <c r="AF319" s="1">
        <v>0</v>
      </c>
      <c r="AG319" s="1">
        <v>652</v>
      </c>
      <c r="AH319" s="1">
        <v>0</v>
      </c>
      <c r="AI319" s="1">
        <v>227</v>
      </c>
      <c r="AJ319" s="1">
        <v>0</v>
      </c>
      <c r="AK319" s="1">
        <v>513</v>
      </c>
      <c r="AL319" s="1">
        <v>0</v>
      </c>
      <c r="AM319" s="1">
        <v>993</v>
      </c>
      <c r="AN319" s="1">
        <v>0</v>
      </c>
      <c r="AO319" s="1">
        <v>403</v>
      </c>
      <c r="AP319" s="1">
        <v>0</v>
      </c>
      <c r="AQ319" s="1">
        <v>364</v>
      </c>
      <c r="AR319" s="1">
        <v>0</v>
      </c>
      <c r="AS319" s="1">
        <v>580</v>
      </c>
      <c r="AT319" s="1">
        <v>0</v>
      </c>
      <c r="AU319" s="1">
        <v>4592</v>
      </c>
      <c r="AV319" s="1">
        <v>0</v>
      </c>
      <c r="AW319" s="1">
        <v>738</v>
      </c>
      <c r="AX319" s="1">
        <v>0</v>
      </c>
      <c r="AY319" s="1">
        <v>737</v>
      </c>
      <c r="AZ319" s="1">
        <v>0</v>
      </c>
      <c r="BA319" s="1">
        <v>0</v>
      </c>
    </row>
    <row r="320" spans="1:53">
      <c r="A320" s="19">
        <v>85003</v>
      </c>
      <c r="B320" s="1">
        <v>2024</v>
      </c>
      <c r="C320" s="1">
        <v>21825</v>
      </c>
      <c r="D320" s="1">
        <v>0</v>
      </c>
      <c r="E320" s="1">
        <v>0</v>
      </c>
      <c r="F320" s="1">
        <v>14</v>
      </c>
      <c r="G320" s="1">
        <v>52</v>
      </c>
      <c r="H320" s="1">
        <v>675</v>
      </c>
      <c r="I320" s="1">
        <v>210</v>
      </c>
      <c r="J320" s="1">
        <v>55</v>
      </c>
      <c r="K320" s="1">
        <v>171</v>
      </c>
      <c r="L320" s="1">
        <v>0</v>
      </c>
      <c r="M320" s="1">
        <v>0</v>
      </c>
      <c r="N320" s="1">
        <v>0</v>
      </c>
      <c r="O320" s="1">
        <v>92</v>
      </c>
      <c r="P320" s="1">
        <v>0</v>
      </c>
      <c r="Q320" s="1">
        <v>121</v>
      </c>
      <c r="R320" s="1">
        <v>0</v>
      </c>
      <c r="S320" s="1">
        <v>25</v>
      </c>
      <c r="T320" s="1">
        <v>0</v>
      </c>
      <c r="U320" s="1">
        <v>669</v>
      </c>
      <c r="V320" s="1">
        <v>113</v>
      </c>
      <c r="W320" s="1">
        <v>620</v>
      </c>
      <c r="X320" s="1">
        <v>92</v>
      </c>
      <c r="Y320" s="1">
        <v>773</v>
      </c>
      <c r="Z320" s="1">
        <v>97</v>
      </c>
      <c r="AA320" s="1">
        <v>231</v>
      </c>
      <c r="AB320" s="1">
        <v>0</v>
      </c>
      <c r="AC320" s="1">
        <v>23</v>
      </c>
      <c r="AD320" s="1">
        <v>31</v>
      </c>
      <c r="AE320" s="1">
        <v>490</v>
      </c>
      <c r="AF320" s="1">
        <v>0</v>
      </c>
      <c r="AG320" s="1">
        <v>431</v>
      </c>
      <c r="AH320" s="1">
        <v>0</v>
      </c>
      <c r="AI320" s="1">
        <v>398</v>
      </c>
      <c r="AJ320" s="1">
        <v>0</v>
      </c>
      <c r="AK320" s="1">
        <v>498</v>
      </c>
      <c r="AL320" s="1">
        <v>0</v>
      </c>
      <c r="AM320" s="1">
        <v>1477</v>
      </c>
      <c r="AN320" s="1">
        <v>0</v>
      </c>
      <c r="AO320" s="1">
        <v>1440</v>
      </c>
      <c r="AP320" s="1">
        <v>0</v>
      </c>
      <c r="AQ320" s="1">
        <v>509</v>
      </c>
      <c r="AR320" s="1">
        <v>0</v>
      </c>
      <c r="AS320" s="1">
        <v>1114</v>
      </c>
      <c r="AT320" s="1">
        <v>0</v>
      </c>
      <c r="AU320" s="1">
        <v>2722</v>
      </c>
      <c r="AV320" s="1">
        <v>0</v>
      </c>
      <c r="AW320" s="1">
        <v>2206</v>
      </c>
      <c r="AX320" s="1">
        <v>0</v>
      </c>
      <c r="AY320" s="1">
        <v>4138</v>
      </c>
      <c r="AZ320" s="1">
        <v>2315</v>
      </c>
      <c r="BA320" s="1">
        <v>23</v>
      </c>
    </row>
    <row r="321" spans="1:53">
      <c r="A321" s="19">
        <v>85005</v>
      </c>
      <c r="B321" s="1">
        <v>2024</v>
      </c>
      <c r="C321" s="1">
        <v>30397</v>
      </c>
      <c r="D321" s="1">
        <v>0</v>
      </c>
      <c r="E321" s="1">
        <v>0</v>
      </c>
      <c r="F321" s="1">
        <v>31</v>
      </c>
      <c r="G321" s="1">
        <v>465</v>
      </c>
      <c r="H321" s="1">
        <v>735</v>
      </c>
      <c r="I321" s="1">
        <v>2517</v>
      </c>
      <c r="J321" s="1">
        <v>299</v>
      </c>
      <c r="K321" s="1">
        <v>190</v>
      </c>
      <c r="L321" s="1">
        <v>0</v>
      </c>
      <c r="M321" s="1">
        <v>0</v>
      </c>
      <c r="N321" s="1">
        <v>0</v>
      </c>
      <c r="O321" s="1">
        <v>181</v>
      </c>
      <c r="P321" s="1">
        <v>34</v>
      </c>
      <c r="Q321" s="1">
        <v>905</v>
      </c>
      <c r="R321" s="1">
        <v>0</v>
      </c>
      <c r="S321" s="1">
        <v>399</v>
      </c>
      <c r="T321" s="1">
        <v>0</v>
      </c>
      <c r="U321" s="1">
        <v>53</v>
      </c>
      <c r="V321" s="1">
        <v>305</v>
      </c>
      <c r="W321" s="1">
        <v>1235</v>
      </c>
      <c r="X321" s="1">
        <v>0</v>
      </c>
      <c r="Y321" s="1">
        <v>1446</v>
      </c>
      <c r="Z321" s="1">
        <v>0</v>
      </c>
      <c r="AA321" s="1">
        <v>671</v>
      </c>
      <c r="AB321" s="1">
        <v>0</v>
      </c>
      <c r="AC321" s="1">
        <v>153</v>
      </c>
      <c r="AD321" s="1">
        <v>0</v>
      </c>
      <c r="AE321" s="1">
        <v>933</v>
      </c>
      <c r="AF321" s="1">
        <v>245</v>
      </c>
      <c r="AG321" s="1">
        <v>2288</v>
      </c>
      <c r="AH321" s="1">
        <v>0</v>
      </c>
      <c r="AI321" s="1">
        <v>43</v>
      </c>
      <c r="AJ321" s="1">
        <v>4</v>
      </c>
      <c r="AK321" s="1">
        <v>387</v>
      </c>
      <c r="AL321" s="1">
        <v>0</v>
      </c>
      <c r="AM321" s="1">
        <v>1042</v>
      </c>
      <c r="AN321" s="1">
        <v>0</v>
      </c>
      <c r="AO321" s="1">
        <v>1707</v>
      </c>
      <c r="AP321" s="1">
        <v>0</v>
      </c>
      <c r="AQ321" s="1">
        <v>2260</v>
      </c>
      <c r="AR321" s="1">
        <v>14</v>
      </c>
      <c r="AS321" s="1">
        <v>3587</v>
      </c>
      <c r="AT321" s="1">
        <v>216</v>
      </c>
      <c r="AU321" s="1">
        <v>4730</v>
      </c>
      <c r="AV321" s="1">
        <v>92</v>
      </c>
      <c r="AW321" s="1">
        <v>1753</v>
      </c>
      <c r="AX321" s="1">
        <v>31</v>
      </c>
      <c r="AY321" s="1">
        <v>1446</v>
      </c>
      <c r="AZ321" s="1">
        <v>0</v>
      </c>
      <c r="BA321" s="1">
        <v>0</v>
      </c>
    </row>
    <row r="322" spans="1:53">
      <c r="A322" s="19">
        <v>85006</v>
      </c>
      <c r="B322" s="1">
        <v>2024</v>
      </c>
      <c r="C322" s="1">
        <v>9624</v>
      </c>
      <c r="D322" s="1">
        <v>0</v>
      </c>
      <c r="E322" s="1">
        <v>0</v>
      </c>
      <c r="F322" s="1">
        <v>38</v>
      </c>
      <c r="G322" s="1">
        <v>30</v>
      </c>
      <c r="H322" s="1">
        <v>493</v>
      </c>
      <c r="I322" s="1">
        <v>498</v>
      </c>
      <c r="J322" s="1">
        <v>123</v>
      </c>
      <c r="K322" s="1">
        <v>16</v>
      </c>
      <c r="L322" s="1">
        <v>0</v>
      </c>
      <c r="M322" s="1">
        <v>0</v>
      </c>
      <c r="N322" s="1">
        <v>0</v>
      </c>
      <c r="O322" s="1">
        <v>39</v>
      </c>
      <c r="P322" s="1">
        <v>0</v>
      </c>
      <c r="Q322" s="1">
        <v>0</v>
      </c>
      <c r="R322" s="1">
        <v>0</v>
      </c>
      <c r="S322" s="1">
        <v>109</v>
      </c>
      <c r="T322" s="1">
        <v>31</v>
      </c>
      <c r="U322" s="1">
        <v>704</v>
      </c>
      <c r="V322" s="1">
        <v>0</v>
      </c>
      <c r="W322" s="1">
        <v>47</v>
      </c>
      <c r="X322" s="1">
        <v>18</v>
      </c>
      <c r="Y322" s="1">
        <v>328</v>
      </c>
      <c r="Z322" s="1">
        <v>0</v>
      </c>
      <c r="AA322" s="1">
        <v>85</v>
      </c>
      <c r="AB322" s="1">
        <v>32</v>
      </c>
      <c r="AC322" s="1">
        <v>591</v>
      </c>
      <c r="AD322" s="1">
        <v>0</v>
      </c>
      <c r="AE322" s="1">
        <v>221</v>
      </c>
      <c r="AF322" s="1">
        <v>0</v>
      </c>
      <c r="AG322" s="1">
        <v>2176</v>
      </c>
      <c r="AH322" s="1">
        <v>0</v>
      </c>
      <c r="AI322" s="1">
        <v>173</v>
      </c>
      <c r="AJ322" s="1">
        <v>0</v>
      </c>
      <c r="AK322" s="1">
        <v>226</v>
      </c>
      <c r="AL322" s="1">
        <v>0</v>
      </c>
      <c r="AM322" s="1">
        <v>169</v>
      </c>
      <c r="AN322" s="1">
        <v>0</v>
      </c>
      <c r="AO322" s="1">
        <v>276</v>
      </c>
      <c r="AP322" s="1">
        <v>0</v>
      </c>
      <c r="AQ322" s="1">
        <v>599</v>
      </c>
      <c r="AR322" s="1">
        <v>0</v>
      </c>
      <c r="AS322" s="1">
        <v>637</v>
      </c>
      <c r="AT322" s="1">
        <v>0</v>
      </c>
      <c r="AU322" s="1">
        <v>1427</v>
      </c>
      <c r="AV322" s="1">
        <v>0</v>
      </c>
      <c r="AW322" s="1">
        <v>388</v>
      </c>
      <c r="AX322" s="1">
        <v>0</v>
      </c>
      <c r="AY322" s="1">
        <v>150</v>
      </c>
      <c r="AZ322" s="1">
        <v>0</v>
      </c>
      <c r="BA322" s="1">
        <v>0</v>
      </c>
    </row>
    <row r="323" spans="1:53">
      <c r="A323" s="19">
        <v>86001</v>
      </c>
      <c r="B323" s="1">
        <v>2024</v>
      </c>
      <c r="C323" s="1">
        <v>10451</v>
      </c>
      <c r="D323" s="1">
        <v>0</v>
      </c>
      <c r="E323" s="1">
        <v>0</v>
      </c>
      <c r="F323" s="1">
        <v>160</v>
      </c>
      <c r="G323" s="1">
        <v>96</v>
      </c>
      <c r="H323" s="1">
        <v>648</v>
      </c>
      <c r="I323" s="1">
        <v>460</v>
      </c>
      <c r="J323" s="1">
        <v>232</v>
      </c>
      <c r="K323" s="1">
        <v>133</v>
      </c>
      <c r="L323" s="1">
        <v>0</v>
      </c>
      <c r="M323" s="1">
        <v>74</v>
      </c>
      <c r="N323" s="1">
        <v>0</v>
      </c>
      <c r="O323" s="1">
        <v>502</v>
      </c>
      <c r="P323" s="1">
        <v>0</v>
      </c>
      <c r="Q323" s="1">
        <v>237</v>
      </c>
      <c r="R323" s="1">
        <v>0</v>
      </c>
      <c r="S323" s="1">
        <v>231</v>
      </c>
      <c r="T323" s="1">
        <v>0</v>
      </c>
      <c r="U323" s="1">
        <v>18</v>
      </c>
      <c r="V323" s="1">
        <v>0</v>
      </c>
      <c r="W323" s="1">
        <v>393</v>
      </c>
      <c r="X323" s="1">
        <v>0</v>
      </c>
      <c r="Y323" s="1">
        <v>647</v>
      </c>
      <c r="Z323" s="1">
        <v>0</v>
      </c>
      <c r="AA323" s="1">
        <v>0</v>
      </c>
      <c r="AB323" s="1">
        <v>0</v>
      </c>
      <c r="AC323" s="1">
        <v>194</v>
      </c>
      <c r="AD323" s="1">
        <v>33</v>
      </c>
      <c r="AE323" s="1">
        <v>1271</v>
      </c>
      <c r="AF323" s="1">
        <v>0</v>
      </c>
      <c r="AG323" s="1">
        <v>836</v>
      </c>
      <c r="AH323" s="1">
        <v>22</v>
      </c>
      <c r="AI323" s="1">
        <v>157</v>
      </c>
      <c r="AJ323" s="1">
        <v>0</v>
      </c>
      <c r="AK323" s="1">
        <v>32</v>
      </c>
      <c r="AL323" s="1">
        <v>0</v>
      </c>
      <c r="AM323" s="1">
        <v>89</v>
      </c>
      <c r="AN323" s="1">
        <v>0</v>
      </c>
      <c r="AO323" s="1">
        <v>121</v>
      </c>
      <c r="AP323" s="1">
        <v>0</v>
      </c>
      <c r="AQ323" s="1">
        <v>34</v>
      </c>
      <c r="AR323" s="1">
        <v>0</v>
      </c>
      <c r="AS323" s="1">
        <v>775</v>
      </c>
      <c r="AT323" s="1">
        <v>0</v>
      </c>
      <c r="AU323" s="1">
        <v>2131</v>
      </c>
      <c r="AV323" s="1">
        <v>0</v>
      </c>
      <c r="AW323" s="1">
        <v>381</v>
      </c>
      <c r="AX323" s="1">
        <v>0</v>
      </c>
      <c r="AY323" s="1">
        <v>363</v>
      </c>
      <c r="AZ323" s="1">
        <v>0</v>
      </c>
      <c r="BA323" s="1">
        <v>181</v>
      </c>
    </row>
    <row r="324" spans="1:53">
      <c r="A324" s="19">
        <v>86002</v>
      </c>
      <c r="B324" s="1">
        <v>2024</v>
      </c>
      <c r="C324" s="1">
        <v>17209</v>
      </c>
      <c r="D324" s="1">
        <v>0</v>
      </c>
      <c r="E324" s="1">
        <v>111</v>
      </c>
      <c r="F324" s="1">
        <v>88</v>
      </c>
      <c r="G324" s="1">
        <v>60</v>
      </c>
      <c r="H324" s="1">
        <v>2402</v>
      </c>
      <c r="I324" s="1">
        <v>1107</v>
      </c>
      <c r="J324" s="1">
        <v>261</v>
      </c>
      <c r="K324" s="1">
        <v>99</v>
      </c>
      <c r="L324" s="1">
        <v>0</v>
      </c>
      <c r="M324" s="1">
        <v>36</v>
      </c>
      <c r="N324" s="1">
        <v>21</v>
      </c>
      <c r="O324" s="1">
        <v>37</v>
      </c>
      <c r="P324" s="1">
        <v>0</v>
      </c>
      <c r="Q324" s="1">
        <v>758</v>
      </c>
      <c r="R324" s="1">
        <v>23</v>
      </c>
      <c r="S324" s="1">
        <v>179</v>
      </c>
      <c r="T324" s="1">
        <v>0</v>
      </c>
      <c r="U324" s="1">
        <v>578</v>
      </c>
      <c r="V324" s="1">
        <v>89</v>
      </c>
      <c r="W324" s="1">
        <v>903</v>
      </c>
      <c r="X324" s="1">
        <v>13</v>
      </c>
      <c r="Y324" s="1">
        <v>818</v>
      </c>
      <c r="Z324" s="1">
        <v>20</v>
      </c>
      <c r="AA324" s="1">
        <v>279</v>
      </c>
      <c r="AB324" s="1">
        <v>0</v>
      </c>
      <c r="AC324" s="1">
        <v>10</v>
      </c>
      <c r="AD324" s="1">
        <v>0</v>
      </c>
      <c r="AE324" s="1">
        <v>793</v>
      </c>
      <c r="AF324" s="1">
        <v>211</v>
      </c>
      <c r="AG324" s="1">
        <v>404</v>
      </c>
      <c r="AH324" s="1">
        <v>0</v>
      </c>
      <c r="AI324" s="1">
        <v>121</v>
      </c>
      <c r="AJ324" s="1">
        <v>0</v>
      </c>
      <c r="AK324" s="1">
        <v>489</v>
      </c>
      <c r="AL324" s="1">
        <v>0</v>
      </c>
      <c r="AM324" s="1">
        <v>241</v>
      </c>
      <c r="AN324" s="1">
        <v>0</v>
      </c>
      <c r="AO324" s="1">
        <v>0</v>
      </c>
      <c r="AP324" s="1">
        <v>0</v>
      </c>
      <c r="AQ324" s="1">
        <v>127</v>
      </c>
      <c r="AR324" s="1">
        <v>0</v>
      </c>
      <c r="AS324" s="1">
        <v>2132</v>
      </c>
      <c r="AT324" s="1">
        <v>0</v>
      </c>
      <c r="AU324" s="1">
        <v>3621</v>
      </c>
      <c r="AV324" s="1">
        <v>0</v>
      </c>
      <c r="AW324" s="1">
        <v>646</v>
      </c>
      <c r="AX324" s="1">
        <v>0</v>
      </c>
      <c r="AY324" s="1">
        <v>509</v>
      </c>
      <c r="AZ324" s="1">
        <v>0</v>
      </c>
      <c r="BA324" s="1">
        <v>23</v>
      </c>
    </row>
    <row r="325" spans="1:53">
      <c r="A325" s="19">
        <v>86003</v>
      </c>
      <c r="B325" s="1">
        <v>2024</v>
      </c>
      <c r="C325" s="1">
        <v>31006</v>
      </c>
      <c r="D325" s="1">
        <v>0</v>
      </c>
      <c r="E325" s="1">
        <v>0</v>
      </c>
      <c r="F325" s="1">
        <v>0</v>
      </c>
      <c r="G325" s="1">
        <v>310</v>
      </c>
      <c r="H325" s="1">
        <v>3178</v>
      </c>
      <c r="I325" s="1">
        <v>2714</v>
      </c>
      <c r="J325" s="1">
        <v>1733</v>
      </c>
      <c r="K325" s="1">
        <v>200</v>
      </c>
      <c r="L325" s="1">
        <v>0</v>
      </c>
      <c r="M325" s="1">
        <v>336</v>
      </c>
      <c r="N325" s="1">
        <v>53</v>
      </c>
      <c r="O325" s="1">
        <v>485</v>
      </c>
      <c r="P325" s="1">
        <v>45</v>
      </c>
      <c r="Q325" s="1">
        <v>109</v>
      </c>
      <c r="R325" s="1">
        <v>24</v>
      </c>
      <c r="S325" s="1">
        <v>704</v>
      </c>
      <c r="T325" s="1">
        <v>0</v>
      </c>
      <c r="U325" s="1">
        <v>530</v>
      </c>
      <c r="V325" s="1">
        <v>0</v>
      </c>
      <c r="W325" s="1">
        <v>290</v>
      </c>
      <c r="X325" s="1">
        <v>0</v>
      </c>
      <c r="Y325" s="1">
        <v>371</v>
      </c>
      <c r="Z325" s="1">
        <v>0</v>
      </c>
      <c r="AA325" s="1">
        <v>100</v>
      </c>
      <c r="AB325" s="1">
        <v>123</v>
      </c>
      <c r="AC325" s="1">
        <v>742</v>
      </c>
      <c r="AD325" s="1">
        <v>48</v>
      </c>
      <c r="AE325" s="1">
        <v>889</v>
      </c>
      <c r="AF325" s="1">
        <v>0</v>
      </c>
      <c r="AG325" s="1">
        <v>362</v>
      </c>
      <c r="AH325" s="1">
        <v>0</v>
      </c>
      <c r="AI325" s="1">
        <v>155</v>
      </c>
      <c r="AJ325" s="1">
        <v>102</v>
      </c>
      <c r="AK325" s="1">
        <v>257</v>
      </c>
      <c r="AL325" s="1">
        <v>0</v>
      </c>
      <c r="AM325" s="1">
        <v>895</v>
      </c>
      <c r="AN325" s="1">
        <v>0</v>
      </c>
      <c r="AO325" s="1">
        <v>265</v>
      </c>
      <c r="AP325" s="1">
        <v>0</v>
      </c>
      <c r="AQ325" s="1">
        <v>3515</v>
      </c>
      <c r="AR325" s="1">
        <v>0</v>
      </c>
      <c r="AS325" s="1">
        <v>4980</v>
      </c>
      <c r="AT325" s="1">
        <v>0</v>
      </c>
      <c r="AU325" s="1">
        <v>5228</v>
      </c>
      <c r="AV325" s="1">
        <v>0</v>
      </c>
      <c r="AW325" s="1">
        <v>634</v>
      </c>
      <c r="AX325" s="1">
        <v>0</v>
      </c>
      <c r="AY325" s="1">
        <v>1170</v>
      </c>
      <c r="AZ325" s="1">
        <v>0</v>
      </c>
      <c r="BA325" s="1">
        <v>459</v>
      </c>
    </row>
    <row r="326" spans="1:53">
      <c r="A326" s="19">
        <v>86004</v>
      </c>
      <c r="B326" s="1">
        <v>2024</v>
      </c>
      <c r="C326" s="1">
        <v>13674</v>
      </c>
      <c r="D326" s="1">
        <v>0</v>
      </c>
      <c r="E326" s="1">
        <v>0</v>
      </c>
      <c r="F326" s="1">
        <v>58</v>
      </c>
      <c r="G326" s="1">
        <v>72</v>
      </c>
      <c r="H326" s="1">
        <v>1008</v>
      </c>
      <c r="I326" s="1">
        <v>610</v>
      </c>
      <c r="J326" s="1">
        <v>517</v>
      </c>
      <c r="K326" s="1">
        <v>122</v>
      </c>
      <c r="L326" s="1">
        <v>0</v>
      </c>
      <c r="M326" s="1">
        <v>29</v>
      </c>
      <c r="N326" s="1">
        <v>0</v>
      </c>
      <c r="O326" s="1">
        <v>145</v>
      </c>
      <c r="P326" s="1">
        <v>0</v>
      </c>
      <c r="Q326" s="1">
        <v>94</v>
      </c>
      <c r="R326" s="1">
        <v>34</v>
      </c>
      <c r="S326" s="1">
        <v>284</v>
      </c>
      <c r="T326" s="1">
        <v>0</v>
      </c>
      <c r="U326" s="1">
        <v>205</v>
      </c>
      <c r="V326" s="1">
        <v>61</v>
      </c>
      <c r="W326" s="1">
        <v>353</v>
      </c>
      <c r="X326" s="1">
        <v>0</v>
      </c>
      <c r="Y326" s="1">
        <v>761</v>
      </c>
      <c r="Z326" s="1">
        <v>0</v>
      </c>
      <c r="AA326" s="1">
        <v>43</v>
      </c>
      <c r="AB326" s="1">
        <v>39</v>
      </c>
      <c r="AC326" s="1">
        <v>0</v>
      </c>
      <c r="AD326" s="1">
        <v>114</v>
      </c>
      <c r="AE326" s="1">
        <v>1067</v>
      </c>
      <c r="AF326" s="1">
        <v>0</v>
      </c>
      <c r="AG326" s="1">
        <v>183</v>
      </c>
      <c r="AH326" s="1">
        <v>0</v>
      </c>
      <c r="AI326" s="1">
        <v>6</v>
      </c>
      <c r="AJ326" s="1">
        <v>0</v>
      </c>
      <c r="AK326" s="1">
        <v>634</v>
      </c>
      <c r="AL326" s="1">
        <v>0</v>
      </c>
      <c r="AM326" s="1">
        <v>252</v>
      </c>
      <c r="AN326" s="1">
        <v>0</v>
      </c>
      <c r="AO326" s="1">
        <v>526</v>
      </c>
      <c r="AP326" s="1">
        <v>0</v>
      </c>
      <c r="AQ326" s="1">
        <v>1405</v>
      </c>
      <c r="AR326" s="1">
        <v>0</v>
      </c>
      <c r="AS326" s="1">
        <v>1418</v>
      </c>
      <c r="AT326" s="1">
        <v>0</v>
      </c>
      <c r="AU326" s="1">
        <v>1615</v>
      </c>
      <c r="AV326" s="1">
        <v>0</v>
      </c>
      <c r="AW326" s="1">
        <v>870</v>
      </c>
      <c r="AX326" s="1">
        <v>0</v>
      </c>
      <c r="AY326" s="1">
        <v>1149</v>
      </c>
      <c r="AZ326" s="1">
        <v>0</v>
      </c>
      <c r="BA326" s="1">
        <v>0</v>
      </c>
    </row>
    <row r="327" spans="1:53">
      <c r="A327" s="19">
        <v>86005</v>
      </c>
      <c r="B327" s="1">
        <v>2024</v>
      </c>
      <c r="C327" s="1">
        <v>11085</v>
      </c>
      <c r="D327" s="1">
        <v>0</v>
      </c>
      <c r="E327" s="1">
        <v>0</v>
      </c>
      <c r="F327" s="1">
        <v>56</v>
      </c>
      <c r="G327" s="1">
        <v>143</v>
      </c>
      <c r="H327" s="1">
        <v>1261</v>
      </c>
      <c r="I327" s="1">
        <v>820</v>
      </c>
      <c r="J327" s="1">
        <v>751</v>
      </c>
      <c r="K327" s="1">
        <v>501</v>
      </c>
      <c r="L327" s="1">
        <v>0</v>
      </c>
      <c r="M327" s="1">
        <v>0</v>
      </c>
      <c r="N327" s="1">
        <v>9</v>
      </c>
      <c r="O327" s="1">
        <v>432</v>
      </c>
      <c r="P327" s="1">
        <v>61</v>
      </c>
      <c r="Q327" s="1">
        <v>248</v>
      </c>
      <c r="R327" s="1">
        <v>85</v>
      </c>
      <c r="S327" s="1">
        <v>407</v>
      </c>
      <c r="T327" s="1">
        <v>0</v>
      </c>
      <c r="U327" s="1">
        <v>0</v>
      </c>
      <c r="V327" s="1">
        <v>84</v>
      </c>
      <c r="W327" s="1">
        <v>398</v>
      </c>
      <c r="X327" s="1">
        <v>0</v>
      </c>
      <c r="Y327" s="1">
        <v>591</v>
      </c>
      <c r="Z327" s="1">
        <v>0</v>
      </c>
      <c r="AA327" s="1">
        <v>90</v>
      </c>
      <c r="AB327" s="1">
        <v>0</v>
      </c>
      <c r="AC327" s="1">
        <v>29</v>
      </c>
      <c r="AD327" s="1">
        <v>0</v>
      </c>
      <c r="AE327" s="1">
        <v>196</v>
      </c>
      <c r="AF327" s="1">
        <v>0</v>
      </c>
      <c r="AG327" s="1">
        <v>376</v>
      </c>
      <c r="AH327" s="1">
        <v>0</v>
      </c>
      <c r="AI327" s="1">
        <v>0</v>
      </c>
      <c r="AJ327" s="1">
        <v>5</v>
      </c>
      <c r="AK327" s="1">
        <v>417</v>
      </c>
      <c r="AL327" s="1">
        <v>0</v>
      </c>
      <c r="AM327" s="1">
        <v>51</v>
      </c>
      <c r="AN327" s="1">
        <v>0</v>
      </c>
      <c r="AO327" s="1">
        <v>395</v>
      </c>
      <c r="AP327" s="1">
        <v>0</v>
      </c>
      <c r="AQ327" s="1">
        <v>0</v>
      </c>
      <c r="AR327" s="1">
        <v>0</v>
      </c>
      <c r="AS327" s="1">
        <v>480</v>
      </c>
      <c r="AT327" s="1">
        <v>0</v>
      </c>
      <c r="AU327" s="1">
        <v>543</v>
      </c>
      <c r="AV327" s="1">
        <v>0</v>
      </c>
      <c r="AW327" s="1">
        <v>481</v>
      </c>
      <c r="AX327" s="1">
        <v>0</v>
      </c>
      <c r="AY327" s="1">
        <v>1645</v>
      </c>
      <c r="AZ327" s="1">
        <v>0</v>
      </c>
      <c r="BA327" s="1">
        <v>530</v>
      </c>
    </row>
    <row r="328" spans="1:53">
      <c r="A328" s="19">
        <v>86006</v>
      </c>
      <c r="B328" s="1">
        <v>2024</v>
      </c>
      <c r="C328" s="1">
        <v>18623</v>
      </c>
      <c r="D328" s="1">
        <v>0</v>
      </c>
      <c r="E328" s="1">
        <v>0</v>
      </c>
      <c r="F328" s="1">
        <v>0</v>
      </c>
      <c r="G328" s="1">
        <v>107</v>
      </c>
      <c r="H328" s="1">
        <v>1952</v>
      </c>
      <c r="I328" s="1">
        <v>1349</v>
      </c>
      <c r="J328" s="1">
        <v>1121</v>
      </c>
      <c r="K328" s="1">
        <v>594</v>
      </c>
      <c r="L328" s="1">
        <v>0</v>
      </c>
      <c r="M328" s="1">
        <v>0</v>
      </c>
      <c r="N328" s="1">
        <v>21</v>
      </c>
      <c r="O328" s="1">
        <v>386</v>
      </c>
      <c r="P328" s="1">
        <v>0</v>
      </c>
      <c r="Q328" s="1">
        <v>232</v>
      </c>
      <c r="R328" s="1">
        <v>0</v>
      </c>
      <c r="S328" s="1">
        <v>1479</v>
      </c>
      <c r="T328" s="1">
        <v>86</v>
      </c>
      <c r="U328" s="1">
        <v>366</v>
      </c>
      <c r="V328" s="1">
        <v>0</v>
      </c>
      <c r="W328" s="1">
        <v>1040</v>
      </c>
      <c r="X328" s="1">
        <v>0</v>
      </c>
      <c r="Y328" s="1">
        <v>35</v>
      </c>
      <c r="Z328" s="1">
        <v>86</v>
      </c>
      <c r="AA328" s="1">
        <v>233</v>
      </c>
      <c r="AB328" s="1">
        <v>0</v>
      </c>
      <c r="AC328" s="1">
        <v>474</v>
      </c>
      <c r="AD328" s="1">
        <v>206</v>
      </c>
      <c r="AE328" s="1">
        <v>2155</v>
      </c>
      <c r="AF328" s="1">
        <v>61</v>
      </c>
      <c r="AG328" s="1">
        <v>663</v>
      </c>
      <c r="AH328" s="1">
        <v>0</v>
      </c>
      <c r="AI328" s="1">
        <v>196</v>
      </c>
      <c r="AJ328" s="1">
        <v>57</v>
      </c>
      <c r="AK328" s="1">
        <v>739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300</v>
      </c>
      <c r="AR328" s="1">
        <v>0</v>
      </c>
      <c r="AS328" s="1">
        <v>1380</v>
      </c>
      <c r="AT328" s="1">
        <v>0</v>
      </c>
      <c r="AU328" s="1">
        <v>1155</v>
      </c>
      <c r="AV328" s="1">
        <v>0</v>
      </c>
      <c r="AW328" s="1">
        <v>1130</v>
      </c>
      <c r="AX328" s="1">
        <v>0</v>
      </c>
      <c r="AY328" s="1">
        <v>1020</v>
      </c>
      <c r="AZ328" s="1">
        <v>0</v>
      </c>
      <c r="BA328" s="1">
        <v>0</v>
      </c>
    </row>
    <row r="329" spans="1:53">
      <c r="A329" s="19">
        <v>86007</v>
      </c>
      <c r="B329" s="1">
        <v>2024</v>
      </c>
      <c r="C329" s="1">
        <v>18111</v>
      </c>
      <c r="D329" s="1">
        <v>0</v>
      </c>
      <c r="E329" s="1">
        <v>0</v>
      </c>
      <c r="F329" s="1">
        <v>0</v>
      </c>
      <c r="G329" s="1">
        <v>83</v>
      </c>
      <c r="H329" s="1">
        <v>838</v>
      </c>
      <c r="I329" s="1">
        <v>411</v>
      </c>
      <c r="J329" s="1">
        <v>433</v>
      </c>
      <c r="K329" s="1">
        <v>62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137</v>
      </c>
      <c r="V329" s="1">
        <v>16</v>
      </c>
      <c r="W329" s="1">
        <v>305</v>
      </c>
      <c r="X329" s="1">
        <v>0</v>
      </c>
      <c r="Y329" s="1">
        <v>602</v>
      </c>
      <c r="Z329" s="1">
        <v>0</v>
      </c>
      <c r="AA329" s="1">
        <v>248</v>
      </c>
      <c r="AB329" s="1">
        <v>0</v>
      </c>
      <c r="AC329" s="1">
        <v>31</v>
      </c>
      <c r="AD329" s="1">
        <v>61</v>
      </c>
      <c r="AE329" s="1">
        <v>925</v>
      </c>
      <c r="AF329" s="1">
        <v>0</v>
      </c>
      <c r="AG329" s="1">
        <v>199</v>
      </c>
      <c r="AH329" s="1">
        <v>0</v>
      </c>
      <c r="AI329" s="1">
        <v>252</v>
      </c>
      <c r="AJ329" s="1">
        <v>0</v>
      </c>
      <c r="AK329" s="1">
        <v>0</v>
      </c>
      <c r="AL329" s="1">
        <v>0</v>
      </c>
      <c r="AM329" s="1">
        <v>1241</v>
      </c>
      <c r="AN329" s="1">
        <v>0</v>
      </c>
      <c r="AO329" s="1">
        <v>1084</v>
      </c>
      <c r="AP329" s="1">
        <v>0</v>
      </c>
      <c r="AQ329" s="1">
        <v>1745</v>
      </c>
      <c r="AR329" s="1">
        <v>0</v>
      </c>
      <c r="AS329" s="1">
        <v>3961</v>
      </c>
      <c r="AT329" s="1">
        <v>0</v>
      </c>
      <c r="AU329" s="1">
        <v>3840</v>
      </c>
      <c r="AV329" s="1">
        <v>0</v>
      </c>
      <c r="AW329" s="1">
        <v>779</v>
      </c>
      <c r="AX329" s="1">
        <v>0</v>
      </c>
      <c r="AY329" s="1">
        <v>858</v>
      </c>
      <c r="AZ329" s="1">
        <v>0</v>
      </c>
      <c r="BA329" s="1">
        <v>0</v>
      </c>
    </row>
    <row r="330" spans="1:53">
      <c r="A330" s="19">
        <v>87001</v>
      </c>
      <c r="B330" s="1">
        <v>2024</v>
      </c>
      <c r="C330" s="1">
        <v>8093</v>
      </c>
      <c r="D330" s="1">
        <v>0</v>
      </c>
      <c r="E330" s="1">
        <v>0</v>
      </c>
      <c r="F330" s="1">
        <v>29</v>
      </c>
      <c r="G330" s="1">
        <v>75</v>
      </c>
      <c r="H330" s="1">
        <v>264</v>
      </c>
      <c r="I330" s="1">
        <v>567</v>
      </c>
      <c r="J330" s="1">
        <v>431</v>
      </c>
      <c r="K330" s="1">
        <v>249</v>
      </c>
      <c r="L330" s="1">
        <v>0</v>
      </c>
      <c r="M330" s="1">
        <v>29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59</v>
      </c>
      <c r="T330" s="1">
        <v>0</v>
      </c>
      <c r="U330" s="1">
        <v>132</v>
      </c>
      <c r="V330" s="1">
        <v>0</v>
      </c>
      <c r="W330" s="1">
        <v>879</v>
      </c>
      <c r="X330" s="1">
        <v>0</v>
      </c>
      <c r="Y330" s="1">
        <v>85</v>
      </c>
      <c r="Z330" s="1">
        <v>0</v>
      </c>
      <c r="AA330" s="1">
        <v>243</v>
      </c>
      <c r="AB330" s="1">
        <v>0</v>
      </c>
      <c r="AC330" s="1">
        <v>15</v>
      </c>
      <c r="AD330" s="1">
        <v>0</v>
      </c>
      <c r="AE330" s="1">
        <v>311</v>
      </c>
      <c r="AF330" s="1">
        <v>0</v>
      </c>
      <c r="AG330" s="1">
        <v>38</v>
      </c>
      <c r="AH330" s="1">
        <v>0</v>
      </c>
      <c r="AI330" s="1">
        <v>56</v>
      </c>
      <c r="AJ330" s="1">
        <v>0</v>
      </c>
      <c r="AK330" s="1">
        <v>526</v>
      </c>
      <c r="AL330" s="1">
        <v>0</v>
      </c>
      <c r="AM330" s="1">
        <v>553</v>
      </c>
      <c r="AN330" s="1">
        <v>0</v>
      </c>
      <c r="AO330" s="1">
        <v>466</v>
      </c>
      <c r="AP330" s="1">
        <v>0</v>
      </c>
      <c r="AQ330" s="1">
        <v>0</v>
      </c>
      <c r="AR330" s="1">
        <v>0</v>
      </c>
      <c r="AS330" s="1">
        <v>757</v>
      </c>
      <c r="AT330" s="1">
        <v>0</v>
      </c>
      <c r="AU330" s="1">
        <v>657</v>
      </c>
      <c r="AV330" s="1">
        <v>0</v>
      </c>
      <c r="AW330" s="1">
        <v>927</v>
      </c>
      <c r="AX330" s="1">
        <v>0</v>
      </c>
      <c r="AY330" s="1">
        <v>745</v>
      </c>
      <c r="AZ330" s="1">
        <v>0</v>
      </c>
      <c r="BA330" s="1">
        <v>0</v>
      </c>
    </row>
    <row r="331" spans="1:53">
      <c r="A331" s="19">
        <v>87002</v>
      </c>
      <c r="B331" s="1">
        <v>2024</v>
      </c>
      <c r="C331" s="1">
        <v>15661</v>
      </c>
      <c r="D331" s="1">
        <v>0</v>
      </c>
      <c r="E331" s="1">
        <v>0</v>
      </c>
      <c r="F331" s="1">
        <v>0</v>
      </c>
      <c r="G331" s="1">
        <v>0</v>
      </c>
      <c r="H331" s="1">
        <v>78</v>
      </c>
      <c r="I331" s="1">
        <v>0</v>
      </c>
      <c r="J331" s="1">
        <v>103</v>
      </c>
      <c r="K331" s="1">
        <v>69</v>
      </c>
      <c r="L331" s="1">
        <v>0</v>
      </c>
      <c r="M331" s="1">
        <v>18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157</v>
      </c>
      <c r="T331" s="1">
        <v>0</v>
      </c>
      <c r="U331" s="1">
        <v>921</v>
      </c>
      <c r="V331" s="1">
        <v>0</v>
      </c>
      <c r="W331" s="1">
        <v>196</v>
      </c>
      <c r="X331" s="1">
        <v>0</v>
      </c>
      <c r="Y331" s="1">
        <v>0</v>
      </c>
      <c r="Z331" s="1">
        <v>0</v>
      </c>
      <c r="AA331" s="1">
        <v>63</v>
      </c>
      <c r="AB331" s="1">
        <v>0</v>
      </c>
      <c r="AC331" s="1">
        <v>467</v>
      </c>
      <c r="AD331" s="1">
        <v>0</v>
      </c>
      <c r="AE331" s="1">
        <v>899</v>
      </c>
      <c r="AF331" s="1">
        <v>0</v>
      </c>
      <c r="AG331" s="1">
        <v>557</v>
      </c>
      <c r="AH331" s="1">
        <v>0</v>
      </c>
      <c r="AI331" s="1">
        <v>183</v>
      </c>
      <c r="AJ331" s="1">
        <v>26</v>
      </c>
      <c r="AK331" s="1">
        <v>363</v>
      </c>
      <c r="AL331" s="1">
        <v>0</v>
      </c>
      <c r="AM331" s="1">
        <v>1008</v>
      </c>
      <c r="AN331" s="1">
        <v>0</v>
      </c>
      <c r="AO331" s="1">
        <v>2375</v>
      </c>
      <c r="AP331" s="1">
        <v>0</v>
      </c>
      <c r="AQ331" s="1">
        <v>1402</v>
      </c>
      <c r="AR331" s="1">
        <v>0</v>
      </c>
      <c r="AS331" s="1">
        <v>1963</v>
      </c>
      <c r="AT331" s="1">
        <v>0</v>
      </c>
      <c r="AU331" s="1">
        <v>2206</v>
      </c>
      <c r="AV331" s="1">
        <v>0</v>
      </c>
      <c r="AW331" s="1">
        <v>1289</v>
      </c>
      <c r="AX331" s="1">
        <v>0</v>
      </c>
      <c r="AY331" s="1">
        <v>1318</v>
      </c>
      <c r="AZ331" s="1">
        <v>0</v>
      </c>
      <c r="BA331" s="1">
        <v>0</v>
      </c>
    </row>
    <row r="332" spans="1:53">
      <c r="A332" s="19">
        <v>87003</v>
      </c>
      <c r="B332" s="1">
        <v>2024</v>
      </c>
      <c r="C332" s="1">
        <v>17235</v>
      </c>
      <c r="D332" s="1">
        <v>0</v>
      </c>
      <c r="E332" s="1">
        <v>0</v>
      </c>
      <c r="F332" s="1">
        <v>20</v>
      </c>
      <c r="G332" s="1">
        <v>0</v>
      </c>
      <c r="H332" s="1">
        <v>220</v>
      </c>
      <c r="I332" s="1">
        <v>505</v>
      </c>
      <c r="J332" s="1">
        <v>231</v>
      </c>
      <c r="K332" s="1">
        <v>349</v>
      </c>
      <c r="L332" s="1">
        <v>0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366</v>
      </c>
      <c r="V332" s="1">
        <v>0</v>
      </c>
      <c r="W332" s="1">
        <v>1098</v>
      </c>
      <c r="X332" s="1">
        <v>0</v>
      </c>
      <c r="Y332" s="1">
        <v>49</v>
      </c>
      <c r="Z332" s="1">
        <v>0</v>
      </c>
      <c r="AA332" s="1">
        <v>58</v>
      </c>
      <c r="AB332" s="1">
        <v>0</v>
      </c>
      <c r="AC332" s="1">
        <v>0</v>
      </c>
      <c r="AD332" s="1">
        <v>0</v>
      </c>
      <c r="AE332" s="1">
        <v>17</v>
      </c>
      <c r="AF332" s="1">
        <v>0</v>
      </c>
      <c r="AG332" s="1">
        <v>38</v>
      </c>
      <c r="AH332" s="1">
        <v>0</v>
      </c>
      <c r="AI332" s="1">
        <v>0</v>
      </c>
      <c r="AJ332" s="1">
        <v>0</v>
      </c>
      <c r="AK332" s="1">
        <v>376</v>
      </c>
      <c r="AL332" s="1">
        <v>0</v>
      </c>
      <c r="AM332" s="1">
        <v>525</v>
      </c>
      <c r="AN332" s="1">
        <v>0</v>
      </c>
      <c r="AO332" s="1">
        <v>1330</v>
      </c>
      <c r="AP332" s="1">
        <v>0</v>
      </c>
      <c r="AQ332" s="1">
        <v>653</v>
      </c>
      <c r="AR332" s="1">
        <v>0</v>
      </c>
      <c r="AS332" s="1">
        <v>1042</v>
      </c>
      <c r="AT332" s="1">
        <v>0</v>
      </c>
      <c r="AU332" s="1">
        <v>4699</v>
      </c>
      <c r="AV332" s="1">
        <v>0</v>
      </c>
      <c r="AW332" s="1">
        <v>1380</v>
      </c>
      <c r="AX332" s="1">
        <v>0</v>
      </c>
      <c r="AY332" s="1">
        <v>4270</v>
      </c>
      <c r="AZ332" s="1">
        <v>0</v>
      </c>
      <c r="BA332" s="1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E3BD-4581-4D2E-98B8-D6D3B2BD01C9}">
  <dimension ref="A1:G333"/>
  <sheetViews>
    <sheetView workbookViewId="0">
      <selection activeCell="P22" sqref="P22"/>
    </sheetView>
  </sheetViews>
  <sheetFormatPr defaultColWidth="9.28515625" defaultRowHeight="14.45"/>
  <cols>
    <col min="1" max="1" width="9.7109375" style="1" customWidth="1"/>
    <col min="2" max="2" width="7.28515625" style="1" customWidth="1"/>
    <col min="3" max="3" width="68.7109375" style="1" bestFit="1" customWidth="1"/>
    <col min="4" max="5" width="10.7109375" style="1" bestFit="1" customWidth="1"/>
    <col min="6" max="6" width="8.5703125" style="1" bestFit="1" customWidth="1"/>
    <col min="7" max="7" width="16.7109375" style="1" bestFit="1" customWidth="1"/>
    <col min="8" max="16384" width="9.28515625" style="1"/>
  </cols>
  <sheetData>
    <row r="1" spans="1:7">
      <c r="A1" s="1" t="s">
        <v>744</v>
      </c>
      <c r="D1" s="1" t="s">
        <v>847</v>
      </c>
    </row>
    <row r="2" spans="1:7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</row>
    <row r="3" spans="1:7">
      <c r="A3" s="8" t="s">
        <v>131</v>
      </c>
      <c r="B3" s="8" t="s">
        <v>167</v>
      </c>
      <c r="C3" s="8" t="s">
        <v>132</v>
      </c>
      <c r="D3" s="8" t="s">
        <v>848</v>
      </c>
      <c r="E3" s="8" t="s">
        <v>849</v>
      </c>
      <c r="F3" s="8" t="s">
        <v>850</v>
      </c>
      <c r="G3" s="8" t="s">
        <v>851</v>
      </c>
    </row>
    <row r="4" spans="1:7">
      <c r="A4" s="19">
        <v>1001</v>
      </c>
      <c r="B4" s="1">
        <v>2024</v>
      </c>
      <c r="C4" s="1" t="s">
        <v>168</v>
      </c>
      <c r="D4" s="1">
        <v>41</v>
      </c>
      <c r="E4" s="1">
        <v>12</v>
      </c>
      <c r="F4" s="1">
        <v>53447</v>
      </c>
      <c r="G4" s="1">
        <v>30894</v>
      </c>
    </row>
    <row r="5" spans="1:7">
      <c r="A5" s="19">
        <v>1002</v>
      </c>
      <c r="B5" s="1">
        <v>2024</v>
      </c>
      <c r="C5" s="1" t="s">
        <v>169</v>
      </c>
      <c r="D5" s="1">
        <v>44</v>
      </c>
      <c r="E5" s="1">
        <v>8</v>
      </c>
      <c r="F5" s="1">
        <v>122192</v>
      </c>
      <c r="G5" s="1">
        <v>37003</v>
      </c>
    </row>
    <row r="6" spans="1:7">
      <c r="A6" s="19">
        <v>2001</v>
      </c>
      <c r="B6" s="1">
        <v>2024</v>
      </c>
      <c r="C6" s="1" t="s">
        <v>170</v>
      </c>
      <c r="D6" s="1">
        <v>70</v>
      </c>
      <c r="E6" s="1">
        <v>23</v>
      </c>
      <c r="F6" s="1">
        <v>114793</v>
      </c>
      <c r="G6" s="1">
        <v>45631</v>
      </c>
    </row>
    <row r="7" spans="1:7">
      <c r="A7" s="19">
        <v>2002</v>
      </c>
      <c r="B7" s="1">
        <v>2024</v>
      </c>
      <c r="C7" s="1" t="s">
        <v>171</v>
      </c>
      <c r="D7" s="1">
        <v>134</v>
      </c>
      <c r="E7" s="1">
        <v>60</v>
      </c>
      <c r="F7" s="1">
        <v>215636</v>
      </c>
      <c r="G7" s="1">
        <v>64680</v>
      </c>
    </row>
    <row r="8" spans="1:7">
      <c r="A8" s="19">
        <v>2004</v>
      </c>
      <c r="B8" s="1">
        <v>2024</v>
      </c>
      <c r="C8" s="1" t="s">
        <v>172</v>
      </c>
      <c r="D8" s="1">
        <v>40</v>
      </c>
      <c r="E8" s="1">
        <v>12</v>
      </c>
      <c r="F8" s="1">
        <v>64839</v>
      </c>
      <c r="G8" s="1">
        <v>22405</v>
      </c>
    </row>
    <row r="9" spans="1:7">
      <c r="A9" s="19">
        <v>2005</v>
      </c>
      <c r="B9" s="1">
        <v>2024</v>
      </c>
      <c r="C9" s="1" t="s">
        <v>173</v>
      </c>
      <c r="D9" s="1">
        <v>24</v>
      </c>
      <c r="E9" s="1">
        <v>18</v>
      </c>
      <c r="F9" s="1">
        <v>44865</v>
      </c>
      <c r="G9" s="1">
        <v>18710</v>
      </c>
    </row>
    <row r="10" spans="1:7">
      <c r="A10" s="19">
        <v>2006</v>
      </c>
      <c r="B10" s="1">
        <v>2024</v>
      </c>
      <c r="C10" s="1" t="s">
        <v>174</v>
      </c>
      <c r="D10" s="1">
        <v>83</v>
      </c>
      <c r="E10" s="1">
        <v>47</v>
      </c>
      <c r="F10" s="1">
        <v>195032</v>
      </c>
      <c r="G10" s="1">
        <v>63866</v>
      </c>
    </row>
    <row r="11" spans="1:7">
      <c r="A11" s="19">
        <v>3001</v>
      </c>
      <c r="B11" s="1">
        <v>2024</v>
      </c>
      <c r="C11" s="1" t="s">
        <v>175</v>
      </c>
      <c r="D11" s="1">
        <v>33</v>
      </c>
      <c r="E11" s="1">
        <v>20</v>
      </c>
      <c r="F11" s="1">
        <v>56900</v>
      </c>
      <c r="G11" s="1">
        <v>20123</v>
      </c>
    </row>
    <row r="12" spans="1:7">
      <c r="A12" s="19">
        <v>3002</v>
      </c>
      <c r="B12" s="1">
        <v>2024</v>
      </c>
      <c r="C12" s="1" t="s">
        <v>176</v>
      </c>
      <c r="D12" s="1">
        <v>30</v>
      </c>
      <c r="E12" s="1">
        <v>14</v>
      </c>
      <c r="F12" s="1">
        <v>53532</v>
      </c>
      <c r="G12" s="1">
        <v>26448</v>
      </c>
    </row>
    <row r="13" spans="1:7">
      <c r="A13" s="19">
        <v>3003</v>
      </c>
      <c r="B13" s="1">
        <v>2024</v>
      </c>
      <c r="C13" s="1" t="s">
        <v>177</v>
      </c>
      <c r="D13" s="1">
        <v>66</v>
      </c>
      <c r="E13" s="1">
        <v>37</v>
      </c>
      <c r="F13" s="1">
        <v>152695</v>
      </c>
      <c r="G13" s="1">
        <v>42768</v>
      </c>
    </row>
    <row r="14" spans="1:7">
      <c r="A14" s="19">
        <v>3004</v>
      </c>
      <c r="B14" s="1">
        <v>2024</v>
      </c>
      <c r="C14" s="1" t="s">
        <v>178</v>
      </c>
      <c r="D14" s="1">
        <v>67</v>
      </c>
      <c r="E14" s="1">
        <v>24</v>
      </c>
      <c r="F14" s="1">
        <v>100520</v>
      </c>
      <c r="G14" s="1">
        <v>57800</v>
      </c>
    </row>
    <row r="15" spans="1:7">
      <c r="A15" s="19">
        <v>4001</v>
      </c>
      <c r="B15" s="1">
        <v>2024</v>
      </c>
      <c r="C15" s="1" t="s">
        <v>179</v>
      </c>
      <c r="D15" s="1">
        <v>20</v>
      </c>
      <c r="E15" s="1">
        <v>8</v>
      </c>
      <c r="F15" s="1">
        <v>47516</v>
      </c>
      <c r="G15" s="1">
        <v>21292</v>
      </c>
    </row>
    <row r="16" spans="1:7">
      <c r="A16" s="19">
        <v>4003</v>
      </c>
      <c r="B16" s="1">
        <v>2024</v>
      </c>
      <c r="C16" s="1" t="s">
        <v>180</v>
      </c>
      <c r="D16" s="1">
        <v>58</v>
      </c>
      <c r="E16" s="1">
        <v>19</v>
      </c>
      <c r="F16" s="1">
        <v>125879</v>
      </c>
      <c r="G16" s="1">
        <v>41324</v>
      </c>
    </row>
    <row r="17" spans="1:7">
      <c r="A17" s="19">
        <v>4004</v>
      </c>
      <c r="B17" s="1">
        <v>2024</v>
      </c>
      <c r="C17" s="1" t="s">
        <v>181</v>
      </c>
      <c r="D17" s="1">
        <v>58</v>
      </c>
      <c r="E17" s="1">
        <v>35</v>
      </c>
      <c r="F17" s="1">
        <v>95296</v>
      </c>
      <c r="G17" s="1">
        <v>51660</v>
      </c>
    </row>
    <row r="18" spans="1:7">
      <c r="A18" s="19">
        <v>5001</v>
      </c>
      <c r="B18" s="1">
        <v>2024</v>
      </c>
      <c r="C18" s="1" t="s">
        <v>182</v>
      </c>
      <c r="D18" s="1">
        <v>59</v>
      </c>
      <c r="E18" s="1">
        <v>23</v>
      </c>
      <c r="F18" s="1">
        <v>100445</v>
      </c>
      <c r="G18" s="1">
        <v>42793</v>
      </c>
    </row>
    <row r="19" spans="1:7">
      <c r="A19" s="19">
        <v>5002</v>
      </c>
      <c r="B19" s="1">
        <v>2024</v>
      </c>
      <c r="C19" s="1" t="s">
        <v>183</v>
      </c>
      <c r="D19" s="1">
        <v>106</v>
      </c>
      <c r="E19" s="1">
        <v>127</v>
      </c>
      <c r="F19" s="1">
        <v>300904</v>
      </c>
      <c r="G19" s="1">
        <v>62649</v>
      </c>
    </row>
    <row r="20" spans="1:7">
      <c r="A20" s="19">
        <v>5003</v>
      </c>
      <c r="B20" s="1">
        <v>2024</v>
      </c>
      <c r="C20" s="1" t="s">
        <v>184</v>
      </c>
      <c r="D20" s="1">
        <v>117</v>
      </c>
      <c r="E20" s="1">
        <v>69</v>
      </c>
      <c r="F20" s="1">
        <v>225482</v>
      </c>
      <c r="G20" s="1">
        <v>65608</v>
      </c>
    </row>
    <row r="21" spans="1:7">
      <c r="A21" s="19">
        <v>6001</v>
      </c>
      <c r="B21" s="1">
        <v>2024</v>
      </c>
      <c r="C21" s="1" t="s">
        <v>185</v>
      </c>
      <c r="D21" s="1">
        <v>18</v>
      </c>
      <c r="E21" s="1">
        <v>5</v>
      </c>
      <c r="F21" s="1">
        <v>36848</v>
      </c>
      <c r="G21" s="1">
        <v>17780</v>
      </c>
    </row>
    <row r="22" spans="1:7">
      <c r="A22" s="19">
        <v>6003</v>
      </c>
      <c r="B22" s="1">
        <v>2024</v>
      </c>
      <c r="C22" s="1" t="s">
        <v>186</v>
      </c>
      <c r="D22" s="1">
        <v>49</v>
      </c>
      <c r="E22" s="1">
        <v>60</v>
      </c>
      <c r="F22" s="1">
        <v>90655</v>
      </c>
      <c r="G22" s="1">
        <v>35771</v>
      </c>
    </row>
    <row r="23" spans="1:7">
      <c r="A23" s="19">
        <v>7001</v>
      </c>
      <c r="B23" s="1">
        <v>2024</v>
      </c>
      <c r="C23" s="1" t="s">
        <v>187</v>
      </c>
      <c r="D23" s="1">
        <v>77</v>
      </c>
      <c r="E23" s="1">
        <v>46</v>
      </c>
      <c r="F23" s="1">
        <v>134360</v>
      </c>
      <c r="G23" s="1">
        <v>71187</v>
      </c>
    </row>
    <row r="24" spans="1:7">
      <c r="A24" s="19">
        <v>7002</v>
      </c>
      <c r="B24" s="1">
        <v>2024</v>
      </c>
      <c r="C24" s="1" t="s">
        <v>188</v>
      </c>
      <c r="D24" s="1">
        <v>51</v>
      </c>
      <c r="E24" s="1">
        <v>32</v>
      </c>
      <c r="F24" s="1">
        <v>89232</v>
      </c>
      <c r="G24" s="1">
        <v>33118</v>
      </c>
    </row>
    <row r="25" spans="1:7">
      <c r="A25" s="19">
        <v>7003</v>
      </c>
      <c r="B25" s="1">
        <v>2024</v>
      </c>
      <c r="C25" s="1" t="s">
        <v>189</v>
      </c>
      <c r="D25" s="1">
        <v>61</v>
      </c>
      <c r="E25" s="1">
        <v>27</v>
      </c>
      <c r="F25" s="1">
        <v>78499</v>
      </c>
      <c r="G25" s="1">
        <v>43078</v>
      </c>
    </row>
    <row r="26" spans="1:7">
      <c r="A26" s="19">
        <v>7004</v>
      </c>
      <c r="B26" s="1">
        <v>2024</v>
      </c>
      <c r="C26" s="1" t="s">
        <v>190</v>
      </c>
      <c r="D26" s="1">
        <v>29</v>
      </c>
      <c r="E26" s="1">
        <v>50</v>
      </c>
      <c r="F26" s="1">
        <v>85605</v>
      </c>
      <c r="G26" s="1">
        <v>25212</v>
      </c>
    </row>
    <row r="27" spans="1:7">
      <c r="A27" s="19">
        <v>7005</v>
      </c>
      <c r="B27" s="1">
        <v>2024</v>
      </c>
      <c r="C27" s="1" t="s">
        <v>191</v>
      </c>
      <c r="D27" s="1">
        <v>33</v>
      </c>
      <c r="E27" s="1">
        <v>61</v>
      </c>
      <c r="F27" s="1">
        <v>85428</v>
      </c>
      <c r="G27" s="1">
        <v>28423</v>
      </c>
    </row>
    <row r="28" spans="1:7">
      <c r="A28" s="19">
        <v>8001</v>
      </c>
      <c r="B28" s="1">
        <v>2024</v>
      </c>
      <c r="C28" s="1" t="s">
        <v>192</v>
      </c>
      <c r="D28" s="1">
        <v>98</v>
      </c>
      <c r="E28" s="1">
        <v>49</v>
      </c>
      <c r="F28" s="1">
        <v>170807</v>
      </c>
      <c r="G28" s="1">
        <v>60985</v>
      </c>
    </row>
    <row r="29" spans="1:7">
      <c r="A29" s="19">
        <v>8002</v>
      </c>
      <c r="B29" s="1">
        <v>2024</v>
      </c>
      <c r="C29" s="1" t="s">
        <v>193</v>
      </c>
      <c r="D29" s="1">
        <v>49</v>
      </c>
      <c r="E29" s="1">
        <v>22</v>
      </c>
      <c r="F29" s="1">
        <v>71268</v>
      </c>
      <c r="G29" s="1">
        <v>46063</v>
      </c>
    </row>
    <row r="30" spans="1:7">
      <c r="A30" s="19">
        <v>8003</v>
      </c>
      <c r="B30" s="1">
        <v>2024</v>
      </c>
      <c r="C30" s="1" t="s">
        <v>194</v>
      </c>
      <c r="D30" s="1">
        <v>47</v>
      </c>
      <c r="E30" s="1">
        <v>20</v>
      </c>
      <c r="F30" s="1">
        <v>71956</v>
      </c>
      <c r="G30" s="1">
        <v>40838</v>
      </c>
    </row>
    <row r="31" spans="1:7">
      <c r="A31" s="19">
        <v>8004</v>
      </c>
      <c r="B31" s="1">
        <v>2024</v>
      </c>
      <c r="C31" s="1" t="s">
        <v>195</v>
      </c>
      <c r="D31" s="1">
        <v>46</v>
      </c>
      <c r="E31" s="1">
        <v>17</v>
      </c>
      <c r="F31" s="1">
        <v>68240</v>
      </c>
      <c r="G31" s="1">
        <v>29759</v>
      </c>
    </row>
    <row r="32" spans="1:7">
      <c r="A32" s="19">
        <v>9003</v>
      </c>
      <c r="B32" s="1">
        <v>2024</v>
      </c>
      <c r="C32" s="1" t="s">
        <v>196</v>
      </c>
      <c r="D32" s="1">
        <v>51</v>
      </c>
      <c r="E32" s="1">
        <v>33</v>
      </c>
      <c r="F32" s="1">
        <v>115388</v>
      </c>
      <c r="G32" s="1">
        <v>38822</v>
      </c>
    </row>
    <row r="33" spans="1:7">
      <c r="A33" s="19">
        <v>9004</v>
      </c>
      <c r="B33" s="1">
        <v>2024</v>
      </c>
      <c r="C33" s="1" t="s">
        <v>197</v>
      </c>
      <c r="D33" s="1">
        <v>66</v>
      </c>
      <c r="E33" s="1">
        <v>26</v>
      </c>
      <c r="F33" s="1">
        <v>117935</v>
      </c>
      <c r="G33" s="1">
        <v>45797</v>
      </c>
    </row>
    <row r="34" spans="1:7">
      <c r="A34" s="19">
        <v>10001</v>
      </c>
      <c r="B34" s="1">
        <v>2024</v>
      </c>
      <c r="C34" s="1" t="s">
        <v>198</v>
      </c>
      <c r="D34" s="1">
        <v>26</v>
      </c>
      <c r="E34" s="1">
        <v>12</v>
      </c>
      <c r="F34" s="1">
        <v>62744</v>
      </c>
      <c r="G34" s="1">
        <v>12435</v>
      </c>
    </row>
    <row r="35" spans="1:7">
      <c r="A35" s="19">
        <v>10002</v>
      </c>
      <c r="B35" s="1">
        <v>2024</v>
      </c>
      <c r="C35" s="1" t="s">
        <v>199</v>
      </c>
      <c r="D35" s="1">
        <v>42</v>
      </c>
      <c r="E35" s="1">
        <v>6</v>
      </c>
      <c r="F35" s="1">
        <v>135320</v>
      </c>
      <c r="G35" s="1">
        <v>39342</v>
      </c>
    </row>
    <row r="36" spans="1:7">
      <c r="A36" s="19">
        <v>10003</v>
      </c>
      <c r="B36" s="1">
        <v>2024</v>
      </c>
      <c r="C36" s="1" t="s">
        <v>200</v>
      </c>
      <c r="D36" s="1">
        <v>46</v>
      </c>
      <c r="E36" s="1">
        <v>15</v>
      </c>
      <c r="F36" s="1">
        <v>91259</v>
      </c>
      <c r="G36" s="1">
        <v>24418</v>
      </c>
    </row>
    <row r="37" spans="1:7">
      <c r="A37" s="19">
        <v>11001</v>
      </c>
      <c r="B37" s="1">
        <v>2024</v>
      </c>
      <c r="C37" s="1" t="s">
        <v>201</v>
      </c>
      <c r="D37" s="1">
        <v>19</v>
      </c>
      <c r="E37" s="1">
        <v>6</v>
      </c>
      <c r="F37" s="1">
        <v>43101</v>
      </c>
      <c r="G37" s="1">
        <v>16360</v>
      </c>
    </row>
    <row r="38" spans="1:7">
      <c r="A38" s="19">
        <v>12001</v>
      </c>
      <c r="B38" s="1">
        <v>2024</v>
      </c>
      <c r="C38" s="1" t="s">
        <v>202</v>
      </c>
      <c r="D38" s="1">
        <v>34</v>
      </c>
      <c r="E38" s="1">
        <v>30</v>
      </c>
      <c r="F38" s="1">
        <v>57044</v>
      </c>
      <c r="G38" s="1">
        <v>36100</v>
      </c>
    </row>
    <row r="39" spans="1:7">
      <c r="A39" s="19">
        <v>12002</v>
      </c>
      <c r="B39" s="1">
        <v>2024</v>
      </c>
      <c r="C39" s="1" t="s">
        <v>203</v>
      </c>
      <c r="D39" s="1">
        <v>55</v>
      </c>
      <c r="E39" s="1">
        <v>34</v>
      </c>
      <c r="F39" s="1">
        <v>82648</v>
      </c>
      <c r="G39" s="1">
        <v>56549</v>
      </c>
    </row>
    <row r="40" spans="1:7">
      <c r="A40" s="19">
        <v>13001</v>
      </c>
      <c r="B40" s="1">
        <v>2024</v>
      </c>
      <c r="C40" s="1" t="s">
        <v>204</v>
      </c>
      <c r="D40" s="1">
        <v>20</v>
      </c>
      <c r="E40" s="1">
        <v>9</v>
      </c>
      <c r="F40" s="1">
        <v>33750</v>
      </c>
      <c r="G40" s="1">
        <v>17306</v>
      </c>
    </row>
    <row r="41" spans="1:7">
      <c r="A41" s="19">
        <v>13003</v>
      </c>
      <c r="B41" s="1">
        <v>2024</v>
      </c>
      <c r="C41" s="1" t="s">
        <v>205</v>
      </c>
      <c r="D41" s="1">
        <v>61</v>
      </c>
      <c r="E41" s="1">
        <v>31</v>
      </c>
      <c r="F41" s="1">
        <v>122325</v>
      </c>
      <c r="G41" s="1">
        <v>45138</v>
      </c>
    </row>
    <row r="42" spans="1:7">
      <c r="A42" s="19">
        <v>13004</v>
      </c>
      <c r="B42" s="1">
        <v>2024</v>
      </c>
      <c r="C42" s="1" t="s">
        <v>206</v>
      </c>
      <c r="D42" s="1">
        <v>44</v>
      </c>
      <c r="E42" s="1">
        <v>18</v>
      </c>
      <c r="F42" s="1">
        <v>65593</v>
      </c>
      <c r="G42" s="1">
        <v>44141</v>
      </c>
    </row>
    <row r="43" spans="1:7">
      <c r="A43" s="19">
        <v>13005</v>
      </c>
      <c r="B43" s="1">
        <v>2024</v>
      </c>
      <c r="C43" s="1" t="s">
        <v>207</v>
      </c>
      <c r="D43" s="1">
        <v>18</v>
      </c>
      <c r="E43" s="1">
        <v>10</v>
      </c>
      <c r="F43" s="1">
        <v>36076</v>
      </c>
      <c r="G43" s="1">
        <v>14634</v>
      </c>
    </row>
    <row r="44" spans="1:7">
      <c r="A44" s="19">
        <v>14001</v>
      </c>
      <c r="B44" s="1">
        <v>2024</v>
      </c>
      <c r="C44" s="1" t="s">
        <v>208</v>
      </c>
      <c r="D44" s="1">
        <v>34</v>
      </c>
      <c r="E44" s="1">
        <v>31</v>
      </c>
      <c r="F44" s="1">
        <v>63851</v>
      </c>
      <c r="G44" s="1">
        <v>26646</v>
      </c>
    </row>
    <row r="45" spans="1:7">
      <c r="A45" s="19">
        <v>14002</v>
      </c>
      <c r="B45" s="1">
        <v>2024</v>
      </c>
      <c r="C45" s="1" t="s">
        <v>209</v>
      </c>
      <c r="D45" s="1">
        <v>37</v>
      </c>
      <c r="E45" s="1">
        <v>26</v>
      </c>
      <c r="F45" s="1">
        <v>60620</v>
      </c>
      <c r="G45" s="1">
        <v>19805</v>
      </c>
    </row>
    <row r="46" spans="1:7">
      <c r="A46" s="19">
        <v>14004</v>
      </c>
      <c r="B46" s="1">
        <v>2024</v>
      </c>
      <c r="C46" s="1" t="s">
        <v>210</v>
      </c>
      <c r="D46" s="1">
        <v>136</v>
      </c>
      <c r="E46" s="1">
        <v>61</v>
      </c>
      <c r="F46" s="1">
        <v>250943</v>
      </c>
      <c r="G46" s="1">
        <v>86933</v>
      </c>
    </row>
    <row r="47" spans="1:7">
      <c r="A47" s="19">
        <v>15002</v>
      </c>
      <c r="B47" s="1">
        <v>2024</v>
      </c>
      <c r="C47" s="1" t="s">
        <v>211</v>
      </c>
      <c r="D47" s="1">
        <v>44</v>
      </c>
      <c r="E47" s="1">
        <v>27</v>
      </c>
      <c r="F47" s="1">
        <v>81185</v>
      </c>
      <c r="G47" s="1">
        <v>23539</v>
      </c>
    </row>
    <row r="48" spans="1:7">
      <c r="A48" s="19">
        <v>16001</v>
      </c>
      <c r="B48" s="1">
        <v>2024</v>
      </c>
      <c r="C48" s="1" t="s">
        <v>212</v>
      </c>
      <c r="D48" s="1">
        <v>36</v>
      </c>
      <c r="E48" s="1">
        <v>9</v>
      </c>
      <c r="F48" s="1">
        <v>55549</v>
      </c>
      <c r="G48" s="1">
        <v>65892</v>
      </c>
    </row>
    <row r="49" spans="1:7">
      <c r="A49" s="19">
        <v>17001</v>
      </c>
      <c r="B49" s="1">
        <v>2024</v>
      </c>
      <c r="C49" s="1" t="s">
        <v>213</v>
      </c>
      <c r="D49" s="1">
        <v>34</v>
      </c>
      <c r="E49" s="1">
        <v>12</v>
      </c>
      <c r="F49" s="1">
        <v>76076</v>
      </c>
      <c r="G49" s="1">
        <v>31289</v>
      </c>
    </row>
    <row r="50" spans="1:7">
      <c r="A50" s="19">
        <v>17003</v>
      </c>
      <c r="B50" s="1">
        <v>2024</v>
      </c>
      <c r="C50" s="1" t="s">
        <v>214</v>
      </c>
      <c r="D50" s="1">
        <v>17</v>
      </c>
      <c r="E50" s="1">
        <v>13</v>
      </c>
      <c r="F50" s="1">
        <v>46528</v>
      </c>
      <c r="G50" s="1">
        <v>20068</v>
      </c>
    </row>
    <row r="51" spans="1:7">
      <c r="A51" s="19">
        <v>17004</v>
      </c>
      <c r="B51" s="1">
        <v>2024</v>
      </c>
      <c r="C51" s="1" t="s">
        <v>215</v>
      </c>
      <c r="D51" s="1">
        <v>43</v>
      </c>
      <c r="E51" s="1">
        <v>13</v>
      </c>
      <c r="F51" s="1">
        <v>104933</v>
      </c>
      <c r="G51" s="1">
        <v>34545</v>
      </c>
    </row>
    <row r="52" spans="1:7">
      <c r="A52" s="19">
        <v>18001</v>
      </c>
      <c r="B52" s="1">
        <v>2024</v>
      </c>
      <c r="C52" s="1" t="s">
        <v>216</v>
      </c>
      <c r="D52" s="1">
        <v>92</v>
      </c>
      <c r="E52" s="1">
        <v>19</v>
      </c>
      <c r="F52" s="1">
        <v>124386</v>
      </c>
      <c r="G52" s="1">
        <v>48607</v>
      </c>
    </row>
    <row r="53" spans="1:7">
      <c r="A53" s="19">
        <v>18002</v>
      </c>
      <c r="B53" s="1">
        <v>2024</v>
      </c>
      <c r="C53" s="1" t="s">
        <v>217</v>
      </c>
      <c r="D53" s="1">
        <v>23</v>
      </c>
      <c r="E53" s="1">
        <v>106</v>
      </c>
      <c r="F53" s="1">
        <v>85770</v>
      </c>
      <c r="G53" s="1">
        <v>2120</v>
      </c>
    </row>
    <row r="54" spans="1:7">
      <c r="A54" s="19">
        <v>18003</v>
      </c>
      <c r="B54" s="1">
        <v>2024</v>
      </c>
      <c r="C54" s="1" t="s">
        <v>218</v>
      </c>
      <c r="D54" s="1">
        <v>37</v>
      </c>
      <c r="E54" s="1">
        <v>5</v>
      </c>
      <c r="F54" s="1">
        <v>69436</v>
      </c>
      <c r="G54" s="1">
        <v>25104</v>
      </c>
    </row>
    <row r="55" spans="1:7">
      <c r="A55" s="19">
        <v>19001</v>
      </c>
      <c r="B55" s="1">
        <v>2024</v>
      </c>
      <c r="C55" s="1" t="s">
        <v>219</v>
      </c>
      <c r="D55" s="1">
        <v>84</v>
      </c>
      <c r="E55" s="1">
        <v>48</v>
      </c>
      <c r="F55" s="1">
        <v>240628</v>
      </c>
      <c r="G55" s="1">
        <v>76176</v>
      </c>
    </row>
    <row r="56" spans="1:7">
      <c r="A56" s="19">
        <v>19002</v>
      </c>
      <c r="B56" s="1">
        <v>2024</v>
      </c>
      <c r="C56" s="1" t="s">
        <v>220</v>
      </c>
      <c r="D56" s="1">
        <v>135</v>
      </c>
      <c r="E56" s="1">
        <v>69</v>
      </c>
      <c r="F56" s="1">
        <v>241979</v>
      </c>
      <c r="G56" s="1">
        <v>112971</v>
      </c>
    </row>
    <row r="57" spans="1:7">
      <c r="A57" s="19">
        <v>19003</v>
      </c>
      <c r="B57" s="1">
        <v>2024</v>
      </c>
      <c r="C57" s="1" t="s">
        <v>221</v>
      </c>
      <c r="D57" s="1">
        <v>61</v>
      </c>
      <c r="E57" s="1">
        <v>103</v>
      </c>
      <c r="F57" s="1">
        <v>143011</v>
      </c>
      <c r="G57" s="1">
        <v>47346</v>
      </c>
    </row>
    <row r="58" spans="1:7">
      <c r="A58" s="19">
        <v>19005</v>
      </c>
      <c r="B58" s="1">
        <v>2024</v>
      </c>
      <c r="C58" s="1" t="s">
        <v>222</v>
      </c>
      <c r="D58" s="1">
        <v>120</v>
      </c>
      <c r="E58" s="1">
        <v>0</v>
      </c>
      <c r="F58" s="1">
        <v>111200</v>
      </c>
      <c r="G58" s="1">
        <v>25159</v>
      </c>
    </row>
    <row r="59" spans="1:7">
      <c r="A59" s="19">
        <v>19007</v>
      </c>
      <c r="B59" s="1">
        <v>2024</v>
      </c>
      <c r="C59" s="1" t="s">
        <v>223</v>
      </c>
      <c r="D59" s="1">
        <v>158</v>
      </c>
      <c r="E59" s="1">
        <v>134</v>
      </c>
      <c r="F59" s="1">
        <v>310016</v>
      </c>
      <c r="G59" s="1">
        <v>96073</v>
      </c>
    </row>
    <row r="60" spans="1:7">
      <c r="A60" s="19">
        <v>19008</v>
      </c>
      <c r="B60" s="1">
        <v>2024</v>
      </c>
      <c r="C60" s="1" t="s">
        <v>224</v>
      </c>
      <c r="D60" s="1">
        <v>38</v>
      </c>
      <c r="E60" s="1">
        <v>11</v>
      </c>
      <c r="F60" s="1">
        <v>69041</v>
      </c>
      <c r="G60" s="1">
        <v>17286</v>
      </c>
    </row>
    <row r="61" spans="1:7">
      <c r="A61" s="19">
        <v>19009</v>
      </c>
      <c r="B61" s="1">
        <v>2024</v>
      </c>
      <c r="C61" s="1" t="s">
        <v>225</v>
      </c>
      <c r="D61" s="1">
        <v>18</v>
      </c>
      <c r="E61" s="1">
        <v>9</v>
      </c>
      <c r="F61" s="1">
        <v>51756</v>
      </c>
      <c r="G61" s="1">
        <v>23650</v>
      </c>
    </row>
    <row r="62" spans="1:7">
      <c r="A62" s="19">
        <v>19010</v>
      </c>
      <c r="B62" s="1">
        <v>2024</v>
      </c>
      <c r="C62" s="1" t="s">
        <v>226</v>
      </c>
      <c r="D62" s="1">
        <v>81</v>
      </c>
      <c r="E62" s="1">
        <v>27</v>
      </c>
      <c r="F62" s="1">
        <v>132825</v>
      </c>
      <c r="G62" s="1">
        <v>46079</v>
      </c>
    </row>
    <row r="63" spans="1:7">
      <c r="A63" s="19">
        <v>20001</v>
      </c>
      <c r="B63" s="1">
        <v>2024</v>
      </c>
      <c r="C63" s="1" t="s">
        <v>227</v>
      </c>
      <c r="D63" s="1">
        <v>49</v>
      </c>
      <c r="E63" s="1">
        <v>31</v>
      </c>
      <c r="F63" s="1">
        <v>90405</v>
      </c>
      <c r="G63" s="1">
        <v>42153</v>
      </c>
    </row>
    <row r="64" spans="1:7">
      <c r="A64" s="19">
        <v>20002</v>
      </c>
      <c r="B64" s="1">
        <v>2024</v>
      </c>
      <c r="C64" s="1" t="s">
        <v>228</v>
      </c>
      <c r="D64" s="1">
        <v>36</v>
      </c>
      <c r="E64" s="1">
        <v>43</v>
      </c>
      <c r="F64" s="1">
        <v>66270</v>
      </c>
      <c r="G64" s="1">
        <v>29180</v>
      </c>
    </row>
    <row r="65" spans="1:7">
      <c r="A65" s="19">
        <v>21001</v>
      </c>
      <c r="B65" s="1">
        <v>2024</v>
      </c>
      <c r="C65" s="1" t="s">
        <v>229</v>
      </c>
      <c r="D65" s="1">
        <v>54</v>
      </c>
      <c r="E65" s="1">
        <v>55</v>
      </c>
      <c r="F65" s="1">
        <v>117552</v>
      </c>
      <c r="G65" s="1">
        <v>44844</v>
      </c>
    </row>
    <row r="66" spans="1:7">
      <c r="A66" s="19">
        <v>21002</v>
      </c>
      <c r="B66" s="1">
        <v>2024</v>
      </c>
      <c r="C66" s="1" t="s">
        <v>230</v>
      </c>
      <c r="D66" s="1">
        <v>24</v>
      </c>
      <c r="E66" s="1">
        <v>15</v>
      </c>
      <c r="F66" s="1">
        <v>38474</v>
      </c>
      <c r="G66" s="1">
        <v>17517</v>
      </c>
    </row>
    <row r="67" spans="1:7">
      <c r="A67" s="19">
        <v>21003</v>
      </c>
      <c r="B67" s="1">
        <v>2024</v>
      </c>
      <c r="C67" s="1" t="s">
        <v>231</v>
      </c>
      <c r="D67" s="1">
        <v>64</v>
      </c>
      <c r="E67" s="1">
        <v>42</v>
      </c>
      <c r="F67" s="1">
        <v>127798</v>
      </c>
      <c r="G67" s="1">
        <v>42023</v>
      </c>
    </row>
    <row r="68" spans="1:7">
      <c r="A68" s="19">
        <v>21004</v>
      </c>
      <c r="B68" s="1">
        <v>2024</v>
      </c>
      <c r="C68" s="1" t="s">
        <v>232</v>
      </c>
      <c r="D68" s="1">
        <v>50</v>
      </c>
      <c r="E68" s="1">
        <v>47</v>
      </c>
      <c r="F68" s="1">
        <v>67552</v>
      </c>
      <c r="G68" s="1">
        <v>25036</v>
      </c>
    </row>
    <row r="69" spans="1:7">
      <c r="A69" s="19">
        <v>22001</v>
      </c>
      <c r="B69" s="1">
        <v>2024</v>
      </c>
      <c r="C69" s="1" t="s">
        <v>233</v>
      </c>
      <c r="D69" s="1">
        <v>77</v>
      </c>
      <c r="E69" s="1">
        <v>38</v>
      </c>
      <c r="F69" s="1">
        <v>119147</v>
      </c>
      <c r="G69" s="1">
        <v>53022</v>
      </c>
    </row>
    <row r="70" spans="1:7">
      <c r="A70" s="19">
        <v>22003</v>
      </c>
      <c r="B70" s="1">
        <v>2024</v>
      </c>
      <c r="C70" s="1" t="s">
        <v>234</v>
      </c>
      <c r="D70" s="1">
        <v>21</v>
      </c>
      <c r="E70" s="1">
        <v>30</v>
      </c>
      <c r="F70" s="1">
        <v>39501</v>
      </c>
      <c r="G70" s="1">
        <v>23752</v>
      </c>
    </row>
    <row r="71" spans="1:7">
      <c r="A71" s="19">
        <v>23001</v>
      </c>
      <c r="B71" s="1">
        <v>2024</v>
      </c>
      <c r="C71" s="1" t="s">
        <v>235</v>
      </c>
      <c r="D71" s="1">
        <v>23</v>
      </c>
      <c r="E71" s="1">
        <v>14</v>
      </c>
      <c r="F71" s="1">
        <v>47843</v>
      </c>
      <c r="G71" s="1">
        <v>22520</v>
      </c>
    </row>
    <row r="72" spans="1:7">
      <c r="A72" s="19">
        <v>23002</v>
      </c>
      <c r="B72" s="1">
        <v>2024</v>
      </c>
      <c r="C72" s="1" t="s">
        <v>236</v>
      </c>
      <c r="D72" s="1">
        <v>35</v>
      </c>
      <c r="E72" s="1">
        <v>45</v>
      </c>
      <c r="F72" s="1">
        <v>134681</v>
      </c>
      <c r="G72" s="1">
        <v>71704</v>
      </c>
    </row>
    <row r="73" spans="1:7">
      <c r="A73" s="19">
        <v>23003</v>
      </c>
      <c r="B73" s="1">
        <v>2024</v>
      </c>
      <c r="C73" s="1" t="s">
        <v>237</v>
      </c>
      <c r="D73" s="1">
        <v>41</v>
      </c>
      <c r="E73" s="1">
        <v>40</v>
      </c>
      <c r="F73" s="1">
        <v>79894</v>
      </c>
      <c r="G73" s="1">
        <v>33510</v>
      </c>
    </row>
    <row r="74" spans="1:7">
      <c r="A74" s="19">
        <v>23004</v>
      </c>
      <c r="B74" s="1">
        <v>2024</v>
      </c>
      <c r="C74" s="1" t="s">
        <v>238</v>
      </c>
      <c r="D74" s="1">
        <v>31</v>
      </c>
      <c r="E74" s="1">
        <v>77</v>
      </c>
      <c r="F74" s="1">
        <v>72956</v>
      </c>
      <c r="G74" s="1">
        <v>47873</v>
      </c>
    </row>
    <row r="75" spans="1:7">
      <c r="A75" s="19">
        <v>23005</v>
      </c>
      <c r="B75" s="1">
        <v>2024</v>
      </c>
      <c r="C75" s="1" t="s">
        <v>239</v>
      </c>
      <c r="D75" s="1">
        <v>64</v>
      </c>
      <c r="E75" s="1">
        <v>0</v>
      </c>
      <c r="F75" s="1">
        <v>42281</v>
      </c>
      <c r="G75" s="1">
        <v>21530</v>
      </c>
    </row>
    <row r="76" spans="1:7">
      <c r="A76" s="19">
        <v>23007</v>
      </c>
      <c r="B76" s="1">
        <v>2024</v>
      </c>
      <c r="C76" s="1" t="s">
        <v>240</v>
      </c>
      <c r="D76" s="1">
        <v>17</v>
      </c>
      <c r="E76" s="1">
        <v>5</v>
      </c>
      <c r="F76" s="1">
        <v>21881</v>
      </c>
      <c r="G76" s="1">
        <v>20113</v>
      </c>
    </row>
    <row r="77" spans="1:7">
      <c r="A77" s="19">
        <v>24001</v>
      </c>
      <c r="B77" s="1">
        <v>2024</v>
      </c>
      <c r="C77" s="1" t="s">
        <v>241</v>
      </c>
      <c r="D77" s="1">
        <v>46</v>
      </c>
      <c r="E77" s="1">
        <v>17</v>
      </c>
      <c r="F77" s="1">
        <v>152706</v>
      </c>
      <c r="G77" s="1">
        <v>33895</v>
      </c>
    </row>
    <row r="78" spans="1:7">
      <c r="A78" s="19">
        <v>24004</v>
      </c>
      <c r="B78" s="1">
        <v>2024</v>
      </c>
      <c r="C78" s="1" t="s">
        <v>242</v>
      </c>
      <c r="D78" s="1">
        <v>59</v>
      </c>
      <c r="E78" s="1">
        <v>53</v>
      </c>
      <c r="F78" s="1">
        <v>104092</v>
      </c>
      <c r="G78" s="1">
        <v>47694</v>
      </c>
    </row>
    <row r="79" spans="1:7">
      <c r="A79" s="19">
        <v>24005</v>
      </c>
      <c r="B79" s="1">
        <v>2024</v>
      </c>
      <c r="C79" s="1" t="s">
        <v>243</v>
      </c>
      <c r="D79" s="1">
        <v>58</v>
      </c>
      <c r="E79" s="1">
        <v>64</v>
      </c>
      <c r="F79" s="1">
        <v>130500</v>
      </c>
      <c r="G79" s="1">
        <v>38280</v>
      </c>
    </row>
    <row r="80" spans="1:7">
      <c r="A80" s="19">
        <v>25003</v>
      </c>
      <c r="B80" s="1">
        <v>2024</v>
      </c>
      <c r="C80" s="1" t="s">
        <v>244</v>
      </c>
      <c r="D80" s="1">
        <v>57</v>
      </c>
      <c r="E80" s="1">
        <v>73</v>
      </c>
      <c r="F80" s="1">
        <v>93222</v>
      </c>
      <c r="G80" s="1">
        <v>56127</v>
      </c>
    </row>
    <row r="81" spans="1:7">
      <c r="A81" s="19">
        <v>25005</v>
      </c>
      <c r="B81" s="1">
        <v>2024</v>
      </c>
      <c r="C81" s="1" t="s">
        <v>245</v>
      </c>
      <c r="D81" s="1">
        <v>33</v>
      </c>
      <c r="E81" s="1">
        <v>28</v>
      </c>
      <c r="F81" s="1">
        <v>49873</v>
      </c>
      <c r="G81" s="1">
        <v>29212</v>
      </c>
    </row>
    <row r="82" spans="1:7">
      <c r="A82" s="19">
        <v>25007</v>
      </c>
      <c r="B82" s="1">
        <v>2024</v>
      </c>
      <c r="C82" s="1" t="s">
        <v>246</v>
      </c>
      <c r="D82" s="1">
        <v>42</v>
      </c>
      <c r="E82" s="1">
        <v>28</v>
      </c>
      <c r="F82" s="1">
        <v>88567</v>
      </c>
      <c r="G82" s="1">
        <v>29749</v>
      </c>
    </row>
    <row r="83" spans="1:7">
      <c r="A83" s="19">
        <v>25008</v>
      </c>
      <c r="B83" s="1">
        <v>2024</v>
      </c>
      <c r="C83" s="1" t="s">
        <v>247</v>
      </c>
      <c r="D83" s="1">
        <v>55</v>
      </c>
      <c r="E83" s="1">
        <v>32</v>
      </c>
      <c r="F83" s="1">
        <v>79154</v>
      </c>
      <c r="G83" s="1">
        <v>46582</v>
      </c>
    </row>
    <row r="84" spans="1:7">
      <c r="A84" s="19">
        <v>26003</v>
      </c>
      <c r="B84" s="1">
        <v>2024</v>
      </c>
      <c r="C84" s="1" t="s">
        <v>248</v>
      </c>
      <c r="D84" s="1">
        <v>39</v>
      </c>
      <c r="E84" s="1">
        <v>43</v>
      </c>
      <c r="F84" s="1">
        <v>71648</v>
      </c>
      <c r="G84" s="1">
        <v>30787</v>
      </c>
    </row>
    <row r="85" spans="1:7">
      <c r="A85" s="19">
        <v>27001</v>
      </c>
      <c r="B85" s="1">
        <v>2024</v>
      </c>
      <c r="C85" s="1" t="s">
        <v>249</v>
      </c>
      <c r="D85" s="1">
        <v>1</v>
      </c>
      <c r="E85" s="1">
        <v>2</v>
      </c>
      <c r="F85" s="1">
        <v>14266</v>
      </c>
      <c r="G85" s="1">
        <v>3712</v>
      </c>
    </row>
    <row r="86" spans="1:7">
      <c r="A86" s="19">
        <v>27002</v>
      </c>
      <c r="B86" s="1">
        <v>2024</v>
      </c>
      <c r="C86" s="1" t="s">
        <v>250</v>
      </c>
      <c r="D86" s="1">
        <v>51</v>
      </c>
      <c r="E86" s="1">
        <v>50</v>
      </c>
      <c r="F86" s="1">
        <v>114216</v>
      </c>
      <c r="G86" s="1">
        <v>42641</v>
      </c>
    </row>
    <row r="87" spans="1:7">
      <c r="A87" s="19">
        <v>27004</v>
      </c>
      <c r="B87" s="1">
        <v>2024</v>
      </c>
      <c r="C87" s="1" t="s">
        <v>251</v>
      </c>
      <c r="D87" s="1">
        <v>43</v>
      </c>
      <c r="E87" s="1">
        <v>22</v>
      </c>
      <c r="F87" s="1">
        <v>92414</v>
      </c>
      <c r="G87" s="1">
        <v>31568</v>
      </c>
    </row>
    <row r="88" spans="1:7">
      <c r="A88" s="19">
        <v>27005</v>
      </c>
      <c r="B88" s="1">
        <v>2024</v>
      </c>
      <c r="C88" s="1" t="s">
        <v>252</v>
      </c>
      <c r="D88" s="1">
        <v>102</v>
      </c>
      <c r="E88" s="1">
        <v>33</v>
      </c>
      <c r="F88" s="1">
        <v>255820</v>
      </c>
      <c r="G88" s="1">
        <v>81191</v>
      </c>
    </row>
    <row r="89" spans="1:7">
      <c r="A89" s="19">
        <v>27007</v>
      </c>
      <c r="B89" s="1">
        <v>2024</v>
      </c>
      <c r="C89" s="1" t="s">
        <v>253</v>
      </c>
      <c r="D89" s="1">
        <v>7</v>
      </c>
      <c r="E89" s="1">
        <v>13</v>
      </c>
      <c r="F89" s="1">
        <v>13055</v>
      </c>
      <c r="G89" s="1">
        <v>4999</v>
      </c>
    </row>
    <row r="90" spans="1:7">
      <c r="A90" s="19">
        <v>27013</v>
      </c>
      <c r="B90" s="1">
        <v>2024</v>
      </c>
      <c r="C90" s="1" t="s">
        <v>254</v>
      </c>
      <c r="D90" s="1">
        <v>105</v>
      </c>
      <c r="E90" s="1">
        <v>194</v>
      </c>
      <c r="F90" s="1">
        <v>329218</v>
      </c>
      <c r="G90" s="1">
        <v>103825</v>
      </c>
    </row>
    <row r="91" spans="1:7">
      <c r="A91" s="19">
        <v>27014</v>
      </c>
      <c r="B91" s="1">
        <v>2024</v>
      </c>
      <c r="C91" s="1" t="s">
        <v>255</v>
      </c>
      <c r="D91" s="1">
        <v>91</v>
      </c>
      <c r="E91" s="1">
        <v>18</v>
      </c>
      <c r="F91" s="1">
        <v>199296</v>
      </c>
      <c r="G91" s="1">
        <v>50471</v>
      </c>
    </row>
    <row r="92" spans="1:7">
      <c r="A92" s="19">
        <v>27015</v>
      </c>
      <c r="B92" s="1">
        <v>2024</v>
      </c>
      <c r="C92" s="1" t="s">
        <v>256</v>
      </c>
      <c r="D92" s="1">
        <v>23</v>
      </c>
      <c r="E92" s="1">
        <v>8</v>
      </c>
      <c r="F92" s="1">
        <v>39429</v>
      </c>
      <c r="G92" s="1">
        <v>19297</v>
      </c>
    </row>
    <row r="93" spans="1:7">
      <c r="A93" s="19">
        <v>27017</v>
      </c>
      <c r="B93" s="1">
        <v>2024</v>
      </c>
      <c r="C93" s="1" t="s">
        <v>257</v>
      </c>
      <c r="D93" s="1">
        <v>24</v>
      </c>
      <c r="E93" s="1">
        <v>15</v>
      </c>
      <c r="F93" s="1">
        <v>42503</v>
      </c>
      <c r="G93" s="1">
        <v>31944</v>
      </c>
    </row>
    <row r="94" spans="1:7">
      <c r="A94" s="19">
        <v>27020</v>
      </c>
      <c r="B94" s="1">
        <v>2024</v>
      </c>
      <c r="C94" s="1" t="s">
        <v>258</v>
      </c>
      <c r="D94" s="1">
        <v>60</v>
      </c>
      <c r="E94" s="1">
        <v>27</v>
      </c>
      <c r="F94" s="1">
        <v>110201</v>
      </c>
      <c r="G94" s="1">
        <v>18648</v>
      </c>
    </row>
    <row r="95" spans="1:7">
      <c r="A95" s="19">
        <v>27021</v>
      </c>
      <c r="B95" s="1">
        <v>2024</v>
      </c>
      <c r="C95" s="1" t="s">
        <v>259</v>
      </c>
      <c r="D95" s="1">
        <v>116</v>
      </c>
      <c r="E95" s="1">
        <v>61</v>
      </c>
      <c r="F95" s="1">
        <v>220793</v>
      </c>
      <c r="G95" s="1">
        <v>75460</v>
      </c>
    </row>
    <row r="96" spans="1:7">
      <c r="A96" s="19">
        <v>27022</v>
      </c>
      <c r="B96" s="1">
        <v>2024</v>
      </c>
      <c r="C96" s="1" t="s">
        <v>260</v>
      </c>
      <c r="D96" s="1">
        <v>29</v>
      </c>
      <c r="E96" s="1">
        <v>23</v>
      </c>
      <c r="F96" s="1">
        <v>90707</v>
      </c>
      <c r="G96" s="1">
        <v>7883</v>
      </c>
    </row>
    <row r="97" spans="1:7">
      <c r="A97" s="19">
        <v>27025</v>
      </c>
      <c r="B97" s="1">
        <v>2024</v>
      </c>
      <c r="C97" s="1" t="s">
        <v>261</v>
      </c>
      <c r="D97" s="1">
        <v>87</v>
      </c>
      <c r="E97" s="1">
        <v>31</v>
      </c>
      <c r="F97" s="1">
        <v>222297</v>
      </c>
      <c r="G97" s="1">
        <v>20152</v>
      </c>
    </row>
    <row r="98" spans="1:7">
      <c r="A98" s="19">
        <v>27026</v>
      </c>
      <c r="B98" s="1">
        <v>2024</v>
      </c>
      <c r="C98" s="1" t="s">
        <v>262</v>
      </c>
      <c r="D98" s="1">
        <v>116</v>
      </c>
      <c r="E98" s="1">
        <v>46</v>
      </c>
      <c r="F98" s="1">
        <v>234911</v>
      </c>
      <c r="G98" s="1">
        <v>65870</v>
      </c>
    </row>
    <row r="99" spans="1:7">
      <c r="A99" s="19">
        <v>27027</v>
      </c>
      <c r="B99" s="1">
        <v>2024</v>
      </c>
      <c r="C99" s="1" t="s">
        <v>263</v>
      </c>
      <c r="D99" s="1">
        <v>116</v>
      </c>
      <c r="E99" s="1">
        <v>43</v>
      </c>
      <c r="F99" s="1">
        <v>188212</v>
      </c>
      <c r="G99" s="1">
        <v>67995</v>
      </c>
    </row>
    <row r="100" spans="1:7">
      <c r="A100" s="19">
        <v>27033</v>
      </c>
      <c r="B100" s="1">
        <v>2024</v>
      </c>
      <c r="C100" s="1" t="s">
        <v>264</v>
      </c>
      <c r="D100" s="1">
        <v>69</v>
      </c>
      <c r="E100" s="1">
        <v>18</v>
      </c>
      <c r="F100" s="1">
        <v>128759</v>
      </c>
      <c r="G100" s="1">
        <v>33583</v>
      </c>
    </row>
    <row r="101" spans="1:7">
      <c r="A101" s="19">
        <v>27034</v>
      </c>
      <c r="B101" s="1">
        <v>2024</v>
      </c>
      <c r="C101" s="1" t="s">
        <v>265</v>
      </c>
      <c r="D101" s="1">
        <v>55</v>
      </c>
      <c r="E101" s="1">
        <v>19</v>
      </c>
      <c r="F101" s="1">
        <v>102034</v>
      </c>
      <c r="G101" s="1">
        <v>41583</v>
      </c>
    </row>
    <row r="102" spans="1:7">
      <c r="A102" s="19">
        <v>27035</v>
      </c>
      <c r="B102" s="1">
        <v>2024</v>
      </c>
      <c r="C102" s="1" t="s">
        <v>266</v>
      </c>
      <c r="D102" s="1">
        <v>62</v>
      </c>
      <c r="E102" s="1">
        <v>15</v>
      </c>
      <c r="F102" s="1">
        <v>172067</v>
      </c>
      <c r="G102" s="1">
        <v>42699</v>
      </c>
    </row>
    <row r="103" spans="1:7">
      <c r="A103" s="19">
        <v>27037</v>
      </c>
      <c r="B103" s="1">
        <v>2024</v>
      </c>
      <c r="C103" s="1" t="s">
        <v>267</v>
      </c>
      <c r="D103" s="1">
        <v>51</v>
      </c>
      <c r="E103" s="1">
        <v>40</v>
      </c>
      <c r="F103" s="1">
        <v>99560</v>
      </c>
      <c r="G103" s="1">
        <v>34004</v>
      </c>
    </row>
    <row r="104" spans="1:7">
      <c r="A104" s="19">
        <v>27038</v>
      </c>
      <c r="B104" s="1">
        <v>2024</v>
      </c>
      <c r="C104" s="1" t="s">
        <v>268</v>
      </c>
      <c r="D104" s="1">
        <v>35</v>
      </c>
      <c r="E104" s="1">
        <v>10</v>
      </c>
      <c r="F104" s="1">
        <v>57807</v>
      </c>
      <c r="G104" s="1">
        <v>22782</v>
      </c>
    </row>
    <row r="105" spans="1:7">
      <c r="A105" s="19">
        <v>27039</v>
      </c>
      <c r="B105" s="1">
        <v>2024</v>
      </c>
      <c r="C105" s="1" t="s">
        <v>269</v>
      </c>
      <c r="D105" s="1">
        <v>63</v>
      </c>
      <c r="E105" s="1">
        <v>24</v>
      </c>
      <c r="F105" s="1">
        <v>192389</v>
      </c>
      <c r="G105" s="1">
        <v>59370</v>
      </c>
    </row>
    <row r="106" spans="1:7">
      <c r="A106" s="19">
        <v>27040</v>
      </c>
      <c r="B106" s="1">
        <v>2024</v>
      </c>
      <c r="C106" s="1" t="s">
        <v>270</v>
      </c>
      <c r="D106" s="1">
        <v>75</v>
      </c>
      <c r="E106" s="1">
        <v>48</v>
      </c>
      <c r="F106" s="1">
        <v>121509</v>
      </c>
      <c r="G106" s="1">
        <v>46521</v>
      </c>
    </row>
    <row r="107" spans="1:7">
      <c r="A107" s="19">
        <v>27041</v>
      </c>
      <c r="B107" s="1">
        <v>2024</v>
      </c>
      <c r="C107" s="1" t="s">
        <v>271</v>
      </c>
      <c r="D107" s="1">
        <v>69</v>
      </c>
      <c r="E107" s="1">
        <v>69</v>
      </c>
      <c r="F107" s="1">
        <v>183486</v>
      </c>
      <c r="G107" s="1">
        <v>33109</v>
      </c>
    </row>
    <row r="108" spans="1:7">
      <c r="A108" s="19">
        <v>27042</v>
      </c>
      <c r="B108" s="1">
        <v>2024</v>
      </c>
      <c r="C108" s="1" t="s">
        <v>272</v>
      </c>
      <c r="D108" s="1">
        <v>70</v>
      </c>
      <c r="E108" s="1">
        <v>3</v>
      </c>
      <c r="F108" s="1">
        <v>146408</v>
      </c>
      <c r="G108" s="1">
        <v>24573</v>
      </c>
    </row>
    <row r="109" spans="1:7">
      <c r="A109" s="19">
        <v>27044</v>
      </c>
      <c r="B109" s="1">
        <v>2024</v>
      </c>
      <c r="C109" s="1" t="s">
        <v>273</v>
      </c>
      <c r="D109" s="1">
        <v>116</v>
      </c>
      <c r="E109" s="1">
        <v>26</v>
      </c>
      <c r="F109" s="1">
        <v>286018</v>
      </c>
      <c r="G109" s="1">
        <v>14843</v>
      </c>
    </row>
    <row r="110" spans="1:7">
      <c r="A110" s="19">
        <v>27046</v>
      </c>
      <c r="B110" s="1">
        <v>2024</v>
      </c>
      <c r="C110" s="1" t="s">
        <v>274</v>
      </c>
      <c r="D110" s="1">
        <v>44</v>
      </c>
      <c r="E110" s="1">
        <v>25</v>
      </c>
      <c r="F110" s="1">
        <v>75232</v>
      </c>
      <c r="G110" s="1">
        <v>43056</v>
      </c>
    </row>
    <row r="111" spans="1:7">
      <c r="A111" s="19">
        <v>27049</v>
      </c>
      <c r="B111" s="1">
        <v>2024</v>
      </c>
      <c r="C111" s="1" t="s">
        <v>275</v>
      </c>
      <c r="D111" s="1">
        <v>86</v>
      </c>
      <c r="E111" s="1">
        <v>41</v>
      </c>
      <c r="F111" s="1">
        <v>100740</v>
      </c>
      <c r="G111" s="1">
        <v>53887</v>
      </c>
    </row>
    <row r="112" spans="1:7">
      <c r="A112" s="19">
        <v>27050</v>
      </c>
      <c r="B112" s="1">
        <v>2024</v>
      </c>
      <c r="C112" s="1" t="s">
        <v>276</v>
      </c>
      <c r="D112" s="1">
        <v>122</v>
      </c>
      <c r="E112" s="1">
        <v>64</v>
      </c>
      <c r="F112" s="1">
        <v>210342</v>
      </c>
      <c r="G112" s="1">
        <v>91123</v>
      </c>
    </row>
    <row r="113" spans="1:7">
      <c r="A113" s="19">
        <v>27052</v>
      </c>
      <c r="B113" s="1">
        <v>2024</v>
      </c>
      <c r="C113" s="1" t="s">
        <v>277</v>
      </c>
      <c r="D113" s="1">
        <v>141</v>
      </c>
      <c r="E113" s="1">
        <v>66</v>
      </c>
      <c r="F113" s="1">
        <v>329650</v>
      </c>
      <c r="G113" s="1">
        <v>50375</v>
      </c>
    </row>
    <row r="114" spans="1:7">
      <c r="A114" s="19">
        <v>27054</v>
      </c>
      <c r="B114" s="1">
        <v>2024</v>
      </c>
      <c r="C114" s="1" t="s">
        <v>278</v>
      </c>
      <c r="D114" s="1">
        <v>80</v>
      </c>
      <c r="E114" s="1">
        <v>58</v>
      </c>
      <c r="F114" s="1">
        <v>135355</v>
      </c>
      <c r="G114" s="1">
        <v>45884</v>
      </c>
    </row>
    <row r="115" spans="1:7">
      <c r="A115" s="19">
        <v>27055</v>
      </c>
      <c r="B115" s="1">
        <v>2024</v>
      </c>
      <c r="C115" s="1" t="s">
        <v>279</v>
      </c>
      <c r="D115" s="1">
        <v>59</v>
      </c>
      <c r="E115" s="1">
        <v>8</v>
      </c>
      <c r="F115" s="1">
        <v>135316</v>
      </c>
      <c r="G115" s="1">
        <v>34443</v>
      </c>
    </row>
    <row r="116" spans="1:7">
      <c r="A116" s="19">
        <v>27056</v>
      </c>
      <c r="B116" s="1">
        <v>2024</v>
      </c>
      <c r="C116" s="1" t="s">
        <v>280</v>
      </c>
      <c r="D116" s="1">
        <v>67</v>
      </c>
      <c r="E116" s="1">
        <v>27</v>
      </c>
      <c r="F116" s="1">
        <v>105604</v>
      </c>
      <c r="G116" s="1">
        <v>36561</v>
      </c>
    </row>
    <row r="117" spans="1:7">
      <c r="A117" s="19">
        <v>27057</v>
      </c>
      <c r="B117" s="1">
        <v>2024</v>
      </c>
      <c r="C117" s="1" t="s">
        <v>281</v>
      </c>
      <c r="D117" s="1">
        <v>43</v>
      </c>
      <c r="E117" s="1">
        <v>18</v>
      </c>
      <c r="F117" s="1">
        <v>77518</v>
      </c>
      <c r="G117" s="1">
        <v>23321</v>
      </c>
    </row>
    <row r="118" spans="1:7">
      <c r="A118" s="19">
        <v>27059</v>
      </c>
      <c r="B118" s="1">
        <v>2024</v>
      </c>
      <c r="C118" s="1" t="s">
        <v>282</v>
      </c>
      <c r="D118" s="1">
        <v>74</v>
      </c>
      <c r="E118" s="1">
        <v>19</v>
      </c>
      <c r="F118" s="1">
        <v>123914</v>
      </c>
      <c r="G118" s="1">
        <v>39445</v>
      </c>
    </row>
    <row r="119" spans="1:7">
      <c r="A119" s="19">
        <v>27060</v>
      </c>
      <c r="B119" s="1">
        <v>2024</v>
      </c>
      <c r="C119" s="1" t="s">
        <v>283</v>
      </c>
      <c r="D119" s="1">
        <v>159</v>
      </c>
      <c r="E119" s="1">
        <v>102</v>
      </c>
      <c r="F119" s="1">
        <v>332888</v>
      </c>
      <c r="G119" s="1">
        <v>105997</v>
      </c>
    </row>
    <row r="120" spans="1:7">
      <c r="A120" s="19">
        <v>27062</v>
      </c>
      <c r="B120" s="1">
        <v>2024</v>
      </c>
      <c r="C120" s="1" t="s">
        <v>284</v>
      </c>
      <c r="D120" s="1">
        <v>41</v>
      </c>
      <c r="E120" s="1">
        <v>15</v>
      </c>
      <c r="F120" s="1">
        <v>89039</v>
      </c>
      <c r="G120" s="1">
        <v>36329</v>
      </c>
    </row>
    <row r="121" spans="1:7">
      <c r="A121" s="19">
        <v>27063</v>
      </c>
      <c r="B121" s="1">
        <v>2024</v>
      </c>
      <c r="C121" s="1" t="s">
        <v>285</v>
      </c>
      <c r="D121" s="1">
        <v>138</v>
      </c>
      <c r="E121" s="1">
        <v>54</v>
      </c>
      <c r="F121" s="1">
        <v>197930</v>
      </c>
      <c r="G121" s="1">
        <v>75042</v>
      </c>
    </row>
    <row r="122" spans="1:7">
      <c r="A122" s="19">
        <v>27066</v>
      </c>
      <c r="B122" s="1">
        <v>2024</v>
      </c>
      <c r="C122" s="1" t="s">
        <v>286</v>
      </c>
      <c r="D122" s="1">
        <v>104</v>
      </c>
      <c r="E122" s="1">
        <v>41</v>
      </c>
      <c r="F122" s="1">
        <v>104920</v>
      </c>
      <c r="G122" s="1">
        <v>62552</v>
      </c>
    </row>
    <row r="123" spans="1:7">
      <c r="A123" s="19">
        <v>27067</v>
      </c>
      <c r="B123" s="1">
        <v>2024</v>
      </c>
      <c r="C123" s="1" t="s">
        <v>287</v>
      </c>
      <c r="D123" s="1">
        <v>28</v>
      </c>
      <c r="E123" s="1">
        <v>6</v>
      </c>
      <c r="F123" s="1">
        <v>113418</v>
      </c>
      <c r="G123" s="1">
        <v>5937</v>
      </c>
    </row>
    <row r="124" spans="1:7">
      <c r="A124" s="19">
        <v>27068</v>
      </c>
      <c r="B124" s="1">
        <v>2024</v>
      </c>
      <c r="C124" s="1" t="s">
        <v>288</v>
      </c>
      <c r="D124" s="1">
        <v>135</v>
      </c>
      <c r="E124" s="1">
        <v>221</v>
      </c>
      <c r="F124" s="1">
        <v>357299</v>
      </c>
      <c r="G124" s="1">
        <v>188508</v>
      </c>
    </row>
    <row r="125" spans="1:7">
      <c r="A125" s="19">
        <v>27070</v>
      </c>
      <c r="B125" s="1">
        <v>2024</v>
      </c>
      <c r="C125" s="1" t="s">
        <v>289</v>
      </c>
      <c r="D125" s="1">
        <v>57</v>
      </c>
      <c r="E125" s="1">
        <v>17</v>
      </c>
      <c r="F125" s="1">
        <v>91370</v>
      </c>
      <c r="G125" s="1">
        <v>31371</v>
      </c>
    </row>
    <row r="126" spans="1:7">
      <c r="A126" s="19">
        <v>27071</v>
      </c>
      <c r="B126" s="1">
        <v>2024</v>
      </c>
      <c r="C126" s="1" t="s">
        <v>290</v>
      </c>
      <c r="D126" s="1">
        <v>18</v>
      </c>
      <c r="E126" s="1">
        <v>18</v>
      </c>
      <c r="F126" s="1">
        <v>22930</v>
      </c>
      <c r="G126" s="1">
        <v>12232</v>
      </c>
    </row>
    <row r="127" spans="1:7">
      <c r="A127" s="19">
        <v>27072</v>
      </c>
      <c r="B127" s="1">
        <v>2024</v>
      </c>
      <c r="C127" s="1" t="s">
        <v>291</v>
      </c>
      <c r="D127" s="1">
        <v>165</v>
      </c>
      <c r="E127" s="1">
        <v>34</v>
      </c>
      <c r="F127" s="1">
        <v>537846</v>
      </c>
      <c r="G127" s="1">
        <v>47907</v>
      </c>
    </row>
    <row r="128" spans="1:7">
      <c r="A128" s="19">
        <v>27074</v>
      </c>
      <c r="B128" s="1">
        <v>2024</v>
      </c>
      <c r="C128" s="1" t="s">
        <v>292</v>
      </c>
      <c r="D128" s="1">
        <v>221</v>
      </c>
      <c r="E128" s="1">
        <v>89</v>
      </c>
      <c r="F128" s="1">
        <v>364555</v>
      </c>
      <c r="G128" s="1">
        <v>119215</v>
      </c>
    </row>
    <row r="129" spans="1:7">
      <c r="A129" s="19">
        <v>27075</v>
      </c>
      <c r="B129" s="1">
        <v>2024</v>
      </c>
      <c r="C129" s="1" t="s">
        <v>293</v>
      </c>
      <c r="D129" s="1">
        <v>101</v>
      </c>
      <c r="E129" s="1">
        <v>33</v>
      </c>
      <c r="F129" s="1">
        <v>175053</v>
      </c>
      <c r="G129" s="1">
        <v>59865</v>
      </c>
    </row>
    <row r="130" spans="1:7">
      <c r="A130" s="19">
        <v>27076</v>
      </c>
      <c r="B130" s="1">
        <v>2024</v>
      </c>
      <c r="C130" s="1" t="s">
        <v>294</v>
      </c>
      <c r="D130" s="1">
        <v>50</v>
      </c>
      <c r="E130" s="1">
        <v>33</v>
      </c>
      <c r="F130" s="1">
        <v>134944</v>
      </c>
      <c r="G130" s="1">
        <v>17162</v>
      </c>
    </row>
    <row r="131" spans="1:7">
      <c r="A131" s="19">
        <v>27077</v>
      </c>
      <c r="B131" s="1">
        <v>2024</v>
      </c>
      <c r="C131" s="1" t="s">
        <v>295</v>
      </c>
      <c r="D131" s="1">
        <v>34</v>
      </c>
      <c r="E131" s="1">
        <v>42</v>
      </c>
      <c r="F131" s="1">
        <v>109247</v>
      </c>
      <c r="G131" s="1">
        <v>34703</v>
      </c>
    </row>
    <row r="132" spans="1:7">
      <c r="A132" s="19">
        <v>27090</v>
      </c>
      <c r="B132" s="1">
        <v>2024</v>
      </c>
      <c r="C132" s="1" t="s">
        <v>296</v>
      </c>
      <c r="D132" s="1">
        <v>64</v>
      </c>
      <c r="E132" s="1">
        <v>54</v>
      </c>
      <c r="F132" s="1">
        <v>136995</v>
      </c>
      <c r="G132" s="1">
        <v>48682</v>
      </c>
    </row>
    <row r="133" spans="1:7">
      <c r="A133" s="19">
        <v>27092</v>
      </c>
      <c r="B133" s="1">
        <v>2024</v>
      </c>
      <c r="C133" s="1" t="s">
        <v>297</v>
      </c>
      <c r="D133" s="1">
        <v>72</v>
      </c>
      <c r="E133" s="1">
        <v>27</v>
      </c>
      <c r="F133" s="1">
        <v>111241</v>
      </c>
      <c r="G133" s="1">
        <v>46275</v>
      </c>
    </row>
    <row r="134" spans="1:7">
      <c r="A134" s="19">
        <v>27093</v>
      </c>
      <c r="B134" s="1">
        <v>2024</v>
      </c>
      <c r="C134" s="1" t="s">
        <v>298</v>
      </c>
      <c r="D134" s="1">
        <v>81</v>
      </c>
      <c r="E134" s="1">
        <v>46</v>
      </c>
      <c r="F134" s="1">
        <v>100868</v>
      </c>
      <c r="G134" s="1">
        <v>42769</v>
      </c>
    </row>
    <row r="135" spans="1:7">
      <c r="A135" s="19">
        <v>27095</v>
      </c>
      <c r="B135" s="1">
        <v>2024</v>
      </c>
      <c r="C135" s="1" t="s">
        <v>299</v>
      </c>
      <c r="D135" s="1">
        <v>73</v>
      </c>
      <c r="E135" s="1">
        <v>59</v>
      </c>
      <c r="F135" s="1">
        <v>162929</v>
      </c>
      <c r="G135" s="1">
        <v>44781</v>
      </c>
    </row>
    <row r="136" spans="1:7">
      <c r="A136" s="19">
        <v>28001</v>
      </c>
      <c r="B136" s="1">
        <v>2024</v>
      </c>
      <c r="C136" s="1" t="s">
        <v>300</v>
      </c>
      <c r="D136" s="1">
        <v>31</v>
      </c>
      <c r="E136" s="1">
        <v>29</v>
      </c>
      <c r="F136" s="1">
        <v>62726</v>
      </c>
      <c r="G136" s="1">
        <v>28468</v>
      </c>
    </row>
    <row r="137" spans="1:7">
      <c r="A137" s="19">
        <v>28003</v>
      </c>
      <c r="B137" s="1">
        <v>2024</v>
      </c>
      <c r="C137" s="1" t="s">
        <v>301</v>
      </c>
      <c r="D137" s="1">
        <v>21</v>
      </c>
      <c r="E137" s="1">
        <v>18</v>
      </c>
      <c r="F137" s="1">
        <v>40484</v>
      </c>
      <c r="G137" s="1">
        <v>6836</v>
      </c>
    </row>
    <row r="138" spans="1:7">
      <c r="A138" s="19">
        <v>28004</v>
      </c>
      <c r="B138" s="1">
        <v>2024</v>
      </c>
      <c r="C138" s="1" t="s">
        <v>302</v>
      </c>
      <c r="D138" s="1">
        <v>28</v>
      </c>
      <c r="E138" s="1">
        <v>7</v>
      </c>
      <c r="F138" s="1">
        <v>45069</v>
      </c>
      <c r="G138" s="1">
        <v>22231</v>
      </c>
    </row>
    <row r="139" spans="1:7">
      <c r="A139" s="19">
        <v>29001</v>
      </c>
      <c r="B139" s="1">
        <v>2024</v>
      </c>
      <c r="C139" s="1" t="s">
        <v>303</v>
      </c>
      <c r="D139" s="1">
        <v>43</v>
      </c>
      <c r="E139" s="1">
        <v>18</v>
      </c>
      <c r="F139" s="1">
        <v>68065</v>
      </c>
      <c r="G139" s="1">
        <v>33210</v>
      </c>
    </row>
    <row r="140" spans="1:7">
      <c r="A140" s="19">
        <v>30001</v>
      </c>
      <c r="B140" s="1">
        <v>2024</v>
      </c>
      <c r="C140" s="1" t="s">
        <v>304</v>
      </c>
      <c r="D140" s="1">
        <v>102</v>
      </c>
      <c r="E140" s="1">
        <v>86</v>
      </c>
      <c r="F140" s="1">
        <v>192298</v>
      </c>
      <c r="G140" s="1">
        <v>78164</v>
      </c>
    </row>
    <row r="141" spans="1:7">
      <c r="A141" s="19">
        <v>31001</v>
      </c>
      <c r="B141" s="1">
        <v>2024</v>
      </c>
      <c r="C141" s="1" t="s">
        <v>305</v>
      </c>
      <c r="D141" s="1">
        <v>16</v>
      </c>
      <c r="E141" s="1">
        <v>16</v>
      </c>
      <c r="F141" s="1">
        <v>44121</v>
      </c>
      <c r="G141" s="1">
        <v>19047</v>
      </c>
    </row>
    <row r="142" spans="1:7">
      <c r="A142" s="19">
        <v>31003</v>
      </c>
      <c r="B142" s="1">
        <v>2024</v>
      </c>
      <c r="C142" s="1" t="s">
        <v>306</v>
      </c>
      <c r="D142" s="1">
        <v>26</v>
      </c>
      <c r="E142" s="1">
        <v>16</v>
      </c>
      <c r="F142" s="1">
        <v>53796</v>
      </c>
      <c r="G142" s="1">
        <v>26897</v>
      </c>
    </row>
    <row r="143" spans="1:7">
      <c r="A143" s="19">
        <v>31004</v>
      </c>
      <c r="B143" s="1">
        <v>2024</v>
      </c>
      <c r="C143" s="1" t="s">
        <v>307</v>
      </c>
      <c r="D143" s="1">
        <v>40</v>
      </c>
      <c r="E143" s="1">
        <v>8</v>
      </c>
      <c r="F143" s="1">
        <v>73361</v>
      </c>
      <c r="G143" s="1">
        <v>18265</v>
      </c>
    </row>
    <row r="144" spans="1:7">
      <c r="A144" s="19">
        <v>31005</v>
      </c>
      <c r="B144" s="1">
        <v>2024</v>
      </c>
      <c r="C144" s="1" t="s">
        <v>308</v>
      </c>
      <c r="D144" s="1">
        <v>56</v>
      </c>
      <c r="E144" s="1">
        <v>40</v>
      </c>
      <c r="F144" s="1">
        <v>288578</v>
      </c>
      <c r="G144" s="1">
        <v>107978</v>
      </c>
    </row>
    <row r="145" spans="1:7">
      <c r="A145" s="19">
        <v>32001</v>
      </c>
      <c r="B145" s="1">
        <v>2024</v>
      </c>
      <c r="C145" s="1" t="s">
        <v>309</v>
      </c>
      <c r="D145" s="1">
        <v>21</v>
      </c>
      <c r="E145" s="1">
        <v>10</v>
      </c>
      <c r="F145" s="1">
        <v>52825</v>
      </c>
      <c r="G145" s="1">
        <v>24049</v>
      </c>
    </row>
    <row r="146" spans="1:7">
      <c r="A146" s="19">
        <v>32003</v>
      </c>
      <c r="B146" s="1">
        <v>2024</v>
      </c>
      <c r="C146" s="1" t="s">
        <v>310</v>
      </c>
      <c r="D146" s="1">
        <v>32</v>
      </c>
      <c r="E146" s="1">
        <v>11</v>
      </c>
      <c r="F146" s="1">
        <v>69106</v>
      </c>
      <c r="G146" s="1">
        <v>27693</v>
      </c>
    </row>
    <row r="147" spans="1:7">
      <c r="A147" s="19">
        <v>33001</v>
      </c>
      <c r="B147" s="1">
        <v>2024</v>
      </c>
      <c r="C147" s="1" t="s">
        <v>311</v>
      </c>
      <c r="D147" s="1">
        <v>51</v>
      </c>
      <c r="E147" s="1">
        <v>29</v>
      </c>
      <c r="F147" s="1">
        <v>83924</v>
      </c>
      <c r="G147" s="1">
        <v>38516</v>
      </c>
    </row>
    <row r="148" spans="1:7">
      <c r="A148" s="19">
        <v>34001</v>
      </c>
      <c r="B148" s="1">
        <v>2024</v>
      </c>
      <c r="C148" s="1" t="s">
        <v>312</v>
      </c>
      <c r="D148" s="1">
        <v>275</v>
      </c>
      <c r="E148" s="1">
        <v>173</v>
      </c>
      <c r="F148" s="1">
        <v>482247</v>
      </c>
      <c r="G148" s="1">
        <v>154825</v>
      </c>
    </row>
    <row r="149" spans="1:7">
      <c r="A149" s="19">
        <v>34003</v>
      </c>
      <c r="B149" s="1">
        <v>2024</v>
      </c>
      <c r="C149" s="1" t="s">
        <v>313</v>
      </c>
      <c r="D149" s="1">
        <v>24</v>
      </c>
      <c r="E149" s="1">
        <v>30</v>
      </c>
      <c r="F149" s="1">
        <v>69481</v>
      </c>
      <c r="G149" s="1">
        <v>16580</v>
      </c>
    </row>
    <row r="150" spans="1:7">
      <c r="A150" s="19">
        <v>34004</v>
      </c>
      <c r="B150" s="1">
        <v>2024</v>
      </c>
      <c r="C150" s="1" t="s">
        <v>314</v>
      </c>
      <c r="D150" s="1">
        <v>66</v>
      </c>
      <c r="E150" s="1">
        <v>39</v>
      </c>
      <c r="F150" s="1">
        <v>133785</v>
      </c>
      <c r="G150" s="1">
        <v>28914</v>
      </c>
    </row>
    <row r="151" spans="1:7">
      <c r="A151" s="19">
        <v>35001</v>
      </c>
      <c r="B151" s="1">
        <v>2024</v>
      </c>
      <c r="C151" s="1" t="s">
        <v>315</v>
      </c>
      <c r="D151" s="1">
        <v>22</v>
      </c>
      <c r="E151" s="1">
        <v>27</v>
      </c>
      <c r="F151" s="1">
        <v>40222</v>
      </c>
      <c r="G151" s="1">
        <v>35048</v>
      </c>
    </row>
    <row r="152" spans="1:7">
      <c r="A152" s="19">
        <v>35002</v>
      </c>
      <c r="B152" s="1">
        <v>2024</v>
      </c>
      <c r="C152" s="1" t="s">
        <v>316</v>
      </c>
      <c r="D152" s="1">
        <v>44</v>
      </c>
      <c r="E152" s="1">
        <v>0</v>
      </c>
      <c r="F152" s="1">
        <v>43166</v>
      </c>
      <c r="G152" s="1">
        <v>21354</v>
      </c>
    </row>
    <row r="153" spans="1:7">
      <c r="A153" s="19">
        <v>36002</v>
      </c>
      <c r="B153" s="1">
        <v>2024</v>
      </c>
      <c r="C153" s="1" t="s">
        <v>317</v>
      </c>
      <c r="D153" s="1">
        <v>45</v>
      </c>
      <c r="E153" s="1">
        <v>9</v>
      </c>
      <c r="F153" s="1">
        <v>94098</v>
      </c>
      <c r="G153" s="1">
        <v>33705</v>
      </c>
    </row>
    <row r="154" spans="1:7">
      <c r="A154" s="19">
        <v>36003</v>
      </c>
      <c r="B154" s="1">
        <v>2024</v>
      </c>
      <c r="C154" s="1" t="s">
        <v>318</v>
      </c>
      <c r="D154" s="1">
        <v>33</v>
      </c>
      <c r="E154" s="1">
        <v>37</v>
      </c>
      <c r="F154" s="1">
        <v>66962</v>
      </c>
      <c r="G154" s="1">
        <v>30556</v>
      </c>
    </row>
    <row r="155" spans="1:7">
      <c r="A155" s="19">
        <v>37001</v>
      </c>
      <c r="B155" s="1">
        <v>2024</v>
      </c>
      <c r="C155" s="1" t="s">
        <v>319</v>
      </c>
      <c r="D155" s="1">
        <v>53</v>
      </c>
      <c r="E155" s="1">
        <v>52</v>
      </c>
      <c r="F155" s="1">
        <v>64850</v>
      </c>
      <c r="G155" s="1">
        <v>50237</v>
      </c>
    </row>
    <row r="156" spans="1:7">
      <c r="A156" s="19">
        <v>37002</v>
      </c>
      <c r="B156" s="1">
        <v>2024</v>
      </c>
      <c r="C156" s="1" t="s">
        <v>320</v>
      </c>
      <c r="D156" s="1">
        <v>42</v>
      </c>
      <c r="E156" s="1">
        <v>33</v>
      </c>
      <c r="F156" s="1">
        <v>68983</v>
      </c>
      <c r="G156" s="1">
        <v>44684</v>
      </c>
    </row>
    <row r="157" spans="1:7">
      <c r="A157" s="19">
        <v>38002</v>
      </c>
      <c r="B157" s="1">
        <v>2024</v>
      </c>
      <c r="C157" s="1" t="s">
        <v>321</v>
      </c>
      <c r="D157" s="1">
        <v>23</v>
      </c>
      <c r="E157" s="1">
        <v>2</v>
      </c>
      <c r="F157" s="1">
        <v>38249</v>
      </c>
      <c r="G157" s="1">
        <v>20478</v>
      </c>
    </row>
    <row r="158" spans="1:7">
      <c r="A158" s="19">
        <v>39001</v>
      </c>
      <c r="B158" s="1">
        <v>2024</v>
      </c>
      <c r="C158" s="1" t="s">
        <v>322</v>
      </c>
      <c r="D158" s="1">
        <v>27</v>
      </c>
      <c r="E158" s="1">
        <v>28</v>
      </c>
      <c r="F158" s="1">
        <v>56206</v>
      </c>
      <c r="G158" s="1">
        <v>15270</v>
      </c>
    </row>
    <row r="159" spans="1:7">
      <c r="A159" s="19">
        <v>40003</v>
      </c>
      <c r="B159" s="1">
        <v>2024</v>
      </c>
      <c r="C159" s="1" t="s">
        <v>323</v>
      </c>
      <c r="D159" s="1">
        <v>42</v>
      </c>
      <c r="E159" s="1">
        <v>7</v>
      </c>
      <c r="F159" s="1">
        <v>62338</v>
      </c>
      <c r="G159" s="1">
        <v>30164</v>
      </c>
    </row>
    <row r="160" spans="1:7">
      <c r="A160" s="19">
        <v>40004</v>
      </c>
      <c r="B160" s="1">
        <v>2024</v>
      </c>
      <c r="C160" s="1" t="s">
        <v>324</v>
      </c>
      <c r="D160" s="1">
        <v>19</v>
      </c>
      <c r="E160" s="1">
        <v>21</v>
      </c>
      <c r="F160" s="1">
        <v>45467</v>
      </c>
      <c r="G160" s="1">
        <v>24382</v>
      </c>
    </row>
    <row r="161" spans="1:7">
      <c r="A161" s="19">
        <v>41002</v>
      </c>
      <c r="B161" s="1">
        <v>2024</v>
      </c>
      <c r="C161" s="1" t="s">
        <v>325</v>
      </c>
      <c r="D161" s="1">
        <v>46</v>
      </c>
      <c r="E161" s="1">
        <v>59</v>
      </c>
      <c r="F161" s="1">
        <v>61370</v>
      </c>
      <c r="G161" s="1">
        <v>50089</v>
      </c>
    </row>
    <row r="162" spans="1:7">
      <c r="A162" s="19">
        <v>41003</v>
      </c>
      <c r="B162" s="1">
        <v>2024</v>
      </c>
      <c r="C162" s="1" t="s">
        <v>326</v>
      </c>
      <c r="D162" s="1">
        <v>16</v>
      </c>
      <c r="E162" s="1">
        <v>21</v>
      </c>
      <c r="F162" s="1">
        <v>44688</v>
      </c>
      <c r="G162" s="1">
        <v>15451</v>
      </c>
    </row>
    <row r="163" spans="1:7">
      <c r="A163" s="19">
        <v>42001</v>
      </c>
      <c r="B163" s="1">
        <v>2024</v>
      </c>
      <c r="C163" s="1" t="s">
        <v>327</v>
      </c>
      <c r="D163" s="1">
        <v>62</v>
      </c>
      <c r="E163" s="1">
        <v>0</v>
      </c>
      <c r="F163" s="1">
        <v>56213</v>
      </c>
      <c r="G163" s="1">
        <v>24304</v>
      </c>
    </row>
    <row r="164" spans="1:7">
      <c r="A164" s="19">
        <v>42005</v>
      </c>
      <c r="B164" s="1">
        <v>2024</v>
      </c>
      <c r="C164" s="1" t="s">
        <v>328</v>
      </c>
      <c r="D164" s="1">
        <v>40</v>
      </c>
      <c r="E164" s="1">
        <v>65</v>
      </c>
      <c r="F164" s="1">
        <v>139014</v>
      </c>
      <c r="G164" s="1">
        <v>36365</v>
      </c>
    </row>
    <row r="165" spans="1:7">
      <c r="A165" s="19">
        <v>43001</v>
      </c>
      <c r="B165" s="1">
        <v>2024</v>
      </c>
      <c r="C165" s="1" t="s">
        <v>329</v>
      </c>
      <c r="D165" s="1">
        <v>35</v>
      </c>
      <c r="E165" s="1">
        <v>16</v>
      </c>
      <c r="F165" s="1">
        <v>58452</v>
      </c>
      <c r="G165" s="1">
        <v>25995</v>
      </c>
    </row>
    <row r="166" spans="1:7">
      <c r="A166" s="19">
        <v>43002</v>
      </c>
      <c r="B166" s="1">
        <v>2024</v>
      </c>
      <c r="C166" s="1" t="s">
        <v>330</v>
      </c>
      <c r="D166" s="1">
        <v>109</v>
      </c>
      <c r="E166" s="1">
        <v>44</v>
      </c>
      <c r="F166" s="1">
        <v>212063</v>
      </c>
      <c r="G166" s="1">
        <v>64773</v>
      </c>
    </row>
    <row r="167" spans="1:7">
      <c r="A167" s="19">
        <v>43003</v>
      </c>
      <c r="B167" s="1">
        <v>2024</v>
      </c>
      <c r="C167" s="1" t="s">
        <v>331</v>
      </c>
      <c r="D167" s="1">
        <v>40</v>
      </c>
      <c r="E167" s="1">
        <v>57</v>
      </c>
      <c r="F167" s="1">
        <v>171445</v>
      </c>
      <c r="G167" s="1">
        <v>711256</v>
      </c>
    </row>
    <row r="168" spans="1:7">
      <c r="A168" s="19">
        <v>44001</v>
      </c>
      <c r="B168" s="1">
        <v>2024</v>
      </c>
      <c r="C168" s="1" t="s">
        <v>332</v>
      </c>
      <c r="D168" s="1">
        <v>27</v>
      </c>
      <c r="E168" s="1">
        <v>29</v>
      </c>
      <c r="F168" s="1">
        <v>58247</v>
      </c>
      <c r="G168" s="1">
        <v>20274</v>
      </c>
    </row>
    <row r="169" spans="1:7">
      <c r="A169" s="19">
        <v>45001</v>
      </c>
      <c r="B169" s="1">
        <v>2024</v>
      </c>
      <c r="C169" s="1" t="s">
        <v>333</v>
      </c>
      <c r="D169" s="1">
        <v>56</v>
      </c>
      <c r="E169" s="1">
        <v>13</v>
      </c>
      <c r="F169" s="1">
        <v>69426</v>
      </c>
      <c r="G169" s="1">
        <v>40369</v>
      </c>
    </row>
    <row r="170" spans="1:7">
      <c r="A170" s="19">
        <v>46002</v>
      </c>
      <c r="B170" s="1">
        <v>2024</v>
      </c>
      <c r="C170" s="1" t="s">
        <v>334</v>
      </c>
      <c r="D170" s="1">
        <v>72</v>
      </c>
      <c r="E170" s="1">
        <v>78</v>
      </c>
      <c r="F170" s="1">
        <v>124109</v>
      </c>
      <c r="G170" s="1">
        <v>52265</v>
      </c>
    </row>
    <row r="171" spans="1:7">
      <c r="A171" s="19">
        <v>46003</v>
      </c>
      <c r="B171" s="1">
        <v>2024</v>
      </c>
      <c r="C171" s="1" t="s">
        <v>335</v>
      </c>
      <c r="D171" s="1">
        <v>24</v>
      </c>
      <c r="E171" s="1">
        <v>23</v>
      </c>
      <c r="F171" s="1">
        <v>42946</v>
      </c>
      <c r="G171" s="1">
        <v>25376</v>
      </c>
    </row>
    <row r="172" spans="1:7">
      <c r="A172" s="19">
        <v>46004</v>
      </c>
      <c r="B172" s="1">
        <v>2024</v>
      </c>
      <c r="C172" s="1" t="s">
        <v>336</v>
      </c>
      <c r="D172" s="1">
        <v>8</v>
      </c>
      <c r="E172" s="1">
        <v>10</v>
      </c>
      <c r="F172" s="1">
        <v>32669</v>
      </c>
      <c r="G172" s="1">
        <v>19955</v>
      </c>
    </row>
    <row r="173" spans="1:7">
      <c r="A173" s="19">
        <v>47002</v>
      </c>
      <c r="B173" s="1">
        <v>2024</v>
      </c>
      <c r="C173" s="1" t="s">
        <v>337</v>
      </c>
      <c r="D173" s="1">
        <v>34</v>
      </c>
      <c r="E173" s="1">
        <v>14</v>
      </c>
      <c r="F173" s="1">
        <v>68399</v>
      </c>
      <c r="G173" s="1">
        <v>24767</v>
      </c>
    </row>
    <row r="174" spans="1:7">
      <c r="A174" s="19">
        <v>47003</v>
      </c>
      <c r="B174" s="1">
        <v>2024</v>
      </c>
      <c r="C174" s="1" t="s">
        <v>338</v>
      </c>
      <c r="D174" s="1">
        <v>53</v>
      </c>
      <c r="E174" s="1">
        <v>75</v>
      </c>
      <c r="F174" s="1">
        <v>104740</v>
      </c>
      <c r="G174" s="1">
        <v>53443</v>
      </c>
    </row>
    <row r="175" spans="1:7">
      <c r="A175" s="19">
        <v>47005</v>
      </c>
      <c r="B175" s="1">
        <v>2024</v>
      </c>
      <c r="C175" s="1" t="s">
        <v>339</v>
      </c>
      <c r="D175" s="1">
        <v>52</v>
      </c>
      <c r="E175" s="1">
        <v>21</v>
      </c>
      <c r="F175" s="1">
        <v>70649</v>
      </c>
      <c r="G175" s="1">
        <v>34667</v>
      </c>
    </row>
    <row r="176" spans="1:7">
      <c r="A176" s="19">
        <v>48001</v>
      </c>
      <c r="B176" s="1">
        <v>2024</v>
      </c>
      <c r="C176" s="1" t="s">
        <v>340</v>
      </c>
      <c r="D176" s="1">
        <v>74</v>
      </c>
      <c r="E176" s="1">
        <v>53</v>
      </c>
      <c r="F176" s="1">
        <v>132096</v>
      </c>
      <c r="G176" s="1">
        <v>50151</v>
      </c>
    </row>
    <row r="177" spans="1:7">
      <c r="A177" s="19">
        <v>48002</v>
      </c>
      <c r="B177" s="1">
        <v>2024</v>
      </c>
      <c r="C177" s="1" t="s">
        <v>341</v>
      </c>
      <c r="D177" s="1">
        <v>92</v>
      </c>
      <c r="E177" s="1">
        <v>46</v>
      </c>
      <c r="F177" s="1">
        <v>175017</v>
      </c>
      <c r="G177" s="1">
        <v>63978</v>
      </c>
    </row>
    <row r="178" spans="1:7">
      <c r="A178" s="19">
        <v>48003</v>
      </c>
      <c r="B178" s="1">
        <v>2024</v>
      </c>
      <c r="C178" s="1" t="s">
        <v>342</v>
      </c>
      <c r="D178" s="1">
        <v>27</v>
      </c>
      <c r="E178" s="1">
        <v>2</v>
      </c>
      <c r="F178" s="1">
        <v>48013</v>
      </c>
      <c r="G178" s="1">
        <v>5270</v>
      </c>
    </row>
    <row r="179" spans="1:7">
      <c r="A179" s="19">
        <v>49001</v>
      </c>
      <c r="B179" s="1">
        <v>2024</v>
      </c>
      <c r="C179" s="1" t="s">
        <v>343</v>
      </c>
      <c r="D179" s="1">
        <v>61</v>
      </c>
      <c r="E179" s="1">
        <v>63</v>
      </c>
      <c r="F179" s="1">
        <v>102116</v>
      </c>
      <c r="G179" s="1">
        <v>44116</v>
      </c>
    </row>
    <row r="180" spans="1:7">
      <c r="A180" s="19">
        <v>49002</v>
      </c>
      <c r="B180" s="1">
        <v>2024</v>
      </c>
      <c r="C180" s="1" t="s">
        <v>344</v>
      </c>
      <c r="D180" s="1">
        <v>64</v>
      </c>
      <c r="E180" s="1">
        <v>42</v>
      </c>
      <c r="F180" s="1">
        <v>191711</v>
      </c>
      <c r="G180" s="1">
        <v>58022</v>
      </c>
    </row>
    <row r="181" spans="1:7">
      <c r="A181" s="19">
        <v>49003</v>
      </c>
      <c r="B181" s="1">
        <v>2024</v>
      </c>
      <c r="C181" s="1" t="s">
        <v>345</v>
      </c>
      <c r="D181" s="1">
        <v>26</v>
      </c>
      <c r="E181" s="1">
        <v>14</v>
      </c>
      <c r="F181" s="1">
        <v>71462</v>
      </c>
      <c r="G181" s="1">
        <v>23997</v>
      </c>
    </row>
    <row r="182" spans="1:7">
      <c r="A182" s="19">
        <v>50001</v>
      </c>
      <c r="B182" s="1">
        <v>2024</v>
      </c>
      <c r="C182" s="1" t="s">
        <v>346</v>
      </c>
      <c r="D182" s="1">
        <v>65</v>
      </c>
      <c r="E182" s="1">
        <v>69</v>
      </c>
      <c r="F182" s="1">
        <v>121900</v>
      </c>
      <c r="G182" s="1">
        <v>37732</v>
      </c>
    </row>
    <row r="183" spans="1:7">
      <c r="A183" s="19">
        <v>50003</v>
      </c>
      <c r="B183" s="1">
        <v>2024</v>
      </c>
      <c r="C183" s="1" t="s">
        <v>347</v>
      </c>
      <c r="D183" s="1">
        <v>31</v>
      </c>
      <c r="E183" s="1">
        <v>29</v>
      </c>
      <c r="F183" s="1">
        <v>74809</v>
      </c>
      <c r="G183" s="1">
        <v>47079</v>
      </c>
    </row>
    <row r="184" spans="1:7">
      <c r="A184" s="19">
        <v>50005</v>
      </c>
      <c r="B184" s="1">
        <v>2024</v>
      </c>
      <c r="C184" s="1" t="s">
        <v>348</v>
      </c>
      <c r="D184" s="1">
        <v>52</v>
      </c>
      <c r="E184" s="1">
        <v>0</v>
      </c>
      <c r="F184" s="1">
        <v>41701</v>
      </c>
      <c r="G184" s="1">
        <v>17386</v>
      </c>
    </row>
    <row r="185" spans="1:7">
      <c r="A185" s="19">
        <v>50006</v>
      </c>
      <c r="B185" s="1">
        <v>2024</v>
      </c>
      <c r="C185" s="1" t="s">
        <v>349</v>
      </c>
      <c r="D185" s="1">
        <v>29</v>
      </c>
      <c r="E185" s="1">
        <v>11</v>
      </c>
      <c r="F185" s="1">
        <v>83745</v>
      </c>
      <c r="G185" s="1">
        <v>23468</v>
      </c>
    </row>
    <row r="186" spans="1:7">
      <c r="A186" s="19">
        <v>51002</v>
      </c>
      <c r="B186" s="1">
        <v>2024</v>
      </c>
      <c r="C186" s="1" t="s">
        <v>350</v>
      </c>
      <c r="D186" s="1">
        <v>40</v>
      </c>
      <c r="E186" s="1">
        <v>49</v>
      </c>
      <c r="F186" s="1">
        <v>54067</v>
      </c>
      <c r="G186" s="1">
        <v>44797</v>
      </c>
    </row>
    <row r="187" spans="1:7">
      <c r="A187" s="19">
        <v>52003</v>
      </c>
      <c r="B187" s="1">
        <v>2024</v>
      </c>
      <c r="C187" s="1" t="s">
        <v>351</v>
      </c>
      <c r="D187" s="1">
        <v>55</v>
      </c>
      <c r="E187" s="1">
        <v>34</v>
      </c>
      <c r="F187" s="1">
        <v>84661</v>
      </c>
      <c r="G187" s="1">
        <v>33061</v>
      </c>
    </row>
    <row r="188" spans="1:7">
      <c r="A188" s="19">
        <v>53004</v>
      </c>
      <c r="B188" s="1">
        <v>2024</v>
      </c>
      <c r="C188" s="1" t="s">
        <v>352</v>
      </c>
      <c r="D188" s="1">
        <v>21</v>
      </c>
      <c r="E188" s="1">
        <v>49</v>
      </c>
      <c r="F188" s="1">
        <v>33779</v>
      </c>
      <c r="G188" s="1">
        <v>24193</v>
      </c>
    </row>
    <row r="189" spans="1:7">
      <c r="A189" s="19">
        <v>53005</v>
      </c>
      <c r="B189" s="1">
        <v>2024</v>
      </c>
      <c r="C189" s="1" t="s">
        <v>353</v>
      </c>
      <c r="D189" s="1">
        <v>20</v>
      </c>
      <c r="E189" s="1">
        <v>39</v>
      </c>
      <c r="F189" s="1">
        <v>40049</v>
      </c>
      <c r="G189" s="1">
        <v>24691</v>
      </c>
    </row>
    <row r="190" spans="1:7">
      <c r="A190" s="19">
        <v>54002</v>
      </c>
      <c r="B190" s="1">
        <v>2024</v>
      </c>
      <c r="C190" s="1" t="s">
        <v>354</v>
      </c>
      <c r="D190" s="1">
        <v>45</v>
      </c>
      <c r="E190" s="1">
        <v>19</v>
      </c>
      <c r="F190" s="1">
        <v>74084</v>
      </c>
      <c r="G190" s="1">
        <v>38808</v>
      </c>
    </row>
    <row r="191" spans="1:7">
      <c r="A191" s="19">
        <v>54003</v>
      </c>
      <c r="B191" s="1">
        <v>2024</v>
      </c>
      <c r="C191" s="1" t="s">
        <v>355</v>
      </c>
      <c r="D191" s="1">
        <v>36</v>
      </c>
      <c r="E191" s="1">
        <v>15</v>
      </c>
      <c r="F191" s="1">
        <v>68978</v>
      </c>
      <c r="G191" s="1">
        <v>22795</v>
      </c>
    </row>
    <row r="192" spans="1:7">
      <c r="A192" s="19">
        <v>55001</v>
      </c>
      <c r="B192" s="1">
        <v>2024</v>
      </c>
      <c r="C192" s="1" t="s">
        <v>356</v>
      </c>
      <c r="D192" s="1">
        <v>23</v>
      </c>
      <c r="E192" s="1">
        <v>7</v>
      </c>
      <c r="F192" s="1">
        <v>69003</v>
      </c>
      <c r="G192" s="1">
        <v>5617</v>
      </c>
    </row>
    <row r="193" spans="1:7">
      <c r="A193" s="19">
        <v>55002</v>
      </c>
      <c r="B193" s="1">
        <v>2024</v>
      </c>
      <c r="C193" s="1" t="s">
        <v>357</v>
      </c>
      <c r="D193" s="1">
        <v>45</v>
      </c>
      <c r="E193" s="1">
        <v>30</v>
      </c>
      <c r="F193" s="1">
        <v>125621</v>
      </c>
      <c r="G193" s="1">
        <v>9587</v>
      </c>
    </row>
    <row r="194" spans="1:7">
      <c r="A194" s="19">
        <v>55003</v>
      </c>
      <c r="B194" s="1">
        <v>2024</v>
      </c>
      <c r="C194" s="1" t="s">
        <v>358</v>
      </c>
      <c r="D194" s="1">
        <v>50</v>
      </c>
      <c r="E194" s="1">
        <v>24</v>
      </c>
      <c r="F194" s="1">
        <v>75277</v>
      </c>
      <c r="G194" s="1">
        <v>47105</v>
      </c>
    </row>
    <row r="195" spans="1:7">
      <c r="A195" s="19">
        <v>55004</v>
      </c>
      <c r="B195" s="1">
        <v>2024</v>
      </c>
      <c r="C195" s="1" t="s">
        <v>359</v>
      </c>
      <c r="D195" s="1">
        <v>27</v>
      </c>
      <c r="E195" s="1">
        <v>23</v>
      </c>
      <c r="F195" s="1">
        <v>68921</v>
      </c>
      <c r="G195" s="1">
        <v>23514</v>
      </c>
    </row>
    <row r="196" spans="1:7">
      <c r="A196" s="19">
        <v>55005</v>
      </c>
      <c r="B196" s="1">
        <v>2024</v>
      </c>
      <c r="C196" s="1" t="s">
        <v>360</v>
      </c>
      <c r="D196" s="1">
        <v>48</v>
      </c>
      <c r="E196" s="1">
        <v>53</v>
      </c>
      <c r="F196" s="1">
        <v>88703</v>
      </c>
      <c r="G196" s="1">
        <v>39991</v>
      </c>
    </row>
    <row r="197" spans="1:7">
      <c r="A197" s="19">
        <v>55007</v>
      </c>
      <c r="B197" s="1">
        <v>2024</v>
      </c>
      <c r="C197" s="1" t="s">
        <v>361</v>
      </c>
      <c r="D197" s="1">
        <v>75</v>
      </c>
      <c r="E197" s="1">
        <v>85</v>
      </c>
      <c r="F197" s="1">
        <v>128736</v>
      </c>
      <c r="G197" s="1">
        <v>70517</v>
      </c>
    </row>
    <row r="198" spans="1:7">
      <c r="A198" s="19">
        <v>55009</v>
      </c>
      <c r="B198" s="1">
        <v>2024</v>
      </c>
      <c r="C198" s="1" t="s">
        <v>362</v>
      </c>
      <c r="D198" s="1">
        <v>40</v>
      </c>
      <c r="E198" s="1">
        <v>17</v>
      </c>
      <c r="F198" s="1">
        <v>64886</v>
      </c>
      <c r="G198" s="1">
        <v>13195</v>
      </c>
    </row>
    <row r="199" spans="1:7">
      <c r="A199" s="19">
        <v>56001</v>
      </c>
      <c r="B199" s="1">
        <v>2024</v>
      </c>
      <c r="C199" s="1" t="s">
        <v>363</v>
      </c>
      <c r="D199" s="1">
        <v>105</v>
      </c>
      <c r="E199" s="1">
        <v>33</v>
      </c>
      <c r="F199" s="1">
        <v>179166</v>
      </c>
      <c r="G199" s="1">
        <v>77047</v>
      </c>
    </row>
    <row r="200" spans="1:7">
      <c r="A200" s="19">
        <v>56002</v>
      </c>
      <c r="B200" s="1">
        <v>2024</v>
      </c>
      <c r="C200" s="1" t="s">
        <v>364</v>
      </c>
      <c r="D200" s="1">
        <v>68</v>
      </c>
      <c r="E200" s="1">
        <v>78</v>
      </c>
      <c r="F200" s="1">
        <v>155056</v>
      </c>
      <c r="G200" s="1">
        <v>52302</v>
      </c>
    </row>
    <row r="201" spans="1:7">
      <c r="A201" s="19">
        <v>56004</v>
      </c>
      <c r="B201" s="1">
        <v>2024</v>
      </c>
      <c r="C201" s="1" t="s">
        <v>365</v>
      </c>
      <c r="D201" s="1">
        <v>36</v>
      </c>
      <c r="E201" s="1">
        <v>12</v>
      </c>
      <c r="F201" s="1">
        <v>77382</v>
      </c>
      <c r="G201" s="1">
        <v>34704</v>
      </c>
    </row>
    <row r="202" spans="1:7">
      <c r="A202" s="19">
        <v>56009</v>
      </c>
      <c r="B202" s="1">
        <v>2024</v>
      </c>
      <c r="C202" s="1" t="s">
        <v>366</v>
      </c>
      <c r="D202" s="1">
        <v>50</v>
      </c>
      <c r="E202" s="1">
        <v>22</v>
      </c>
      <c r="F202" s="1">
        <v>104382</v>
      </c>
      <c r="G202" s="1">
        <v>68204</v>
      </c>
    </row>
    <row r="203" spans="1:7">
      <c r="A203" s="19">
        <v>56010</v>
      </c>
      <c r="B203" s="1">
        <v>2024</v>
      </c>
      <c r="C203" s="1" t="s">
        <v>367</v>
      </c>
      <c r="D203" s="1">
        <v>36</v>
      </c>
      <c r="E203" s="1">
        <v>25</v>
      </c>
      <c r="F203" s="1">
        <v>63192</v>
      </c>
      <c r="G203" s="1">
        <v>25712</v>
      </c>
    </row>
    <row r="204" spans="1:7">
      <c r="A204" s="19">
        <v>56011</v>
      </c>
      <c r="B204" s="1">
        <v>2024</v>
      </c>
      <c r="C204" s="1" t="s">
        <v>368</v>
      </c>
      <c r="D204" s="1">
        <v>50</v>
      </c>
      <c r="E204" s="1">
        <v>47</v>
      </c>
      <c r="F204" s="1">
        <v>99559</v>
      </c>
      <c r="G204" s="1">
        <v>37934</v>
      </c>
    </row>
    <row r="205" spans="1:7">
      <c r="A205" s="19">
        <v>57001</v>
      </c>
      <c r="B205" s="1">
        <v>2024</v>
      </c>
      <c r="C205" s="1" t="s">
        <v>369</v>
      </c>
      <c r="D205" s="1">
        <v>45</v>
      </c>
      <c r="E205" s="1">
        <v>44</v>
      </c>
      <c r="F205" s="1">
        <v>95098</v>
      </c>
      <c r="G205" s="1">
        <v>40493</v>
      </c>
    </row>
    <row r="206" spans="1:7">
      <c r="A206" s="19">
        <v>57002</v>
      </c>
      <c r="B206" s="1">
        <v>2024</v>
      </c>
      <c r="C206" s="1" t="s">
        <v>370</v>
      </c>
      <c r="D206" s="1">
        <v>29</v>
      </c>
      <c r="E206" s="1">
        <v>19</v>
      </c>
      <c r="F206" s="1">
        <v>56542</v>
      </c>
      <c r="G206" s="1">
        <v>26959</v>
      </c>
    </row>
    <row r="207" spans="1:7">
      <c r="A207" s="19">
        <v>58001</v>
      </c>
      <c r="B207" s="1">
        <v>2024</v>
      </c>
      <c r="C207" s="1" t="s">
        <v>371</v>
      </c>
      <c r="D207" s="1">
        <v>50</v>
      </c>
      <c r="E207" s="1">
        <v>27</v>
      </c>
      <c r="F207" s="1">
        <v>91093</v>
      </c>
      <c r="G207" s="1">
        <v>40115</v>
      </c>
    </row>
    <row r="208" spans="1:7">
      <c r="A208" s="19">
        <v>59001</v>
      </c>
      <c r="B208" s="1">
        <v>2024</v>
      </c>
      <c r="C208" s="1" t="s">
        <v>372</v>
      </c>
      <c r="D208" s="1">
        <v>48</v>
      </c>
      <c r="E208" s="1">
        <v>9</v>
      </c>
      <c r="F208" s="1">
        <v>94573</v>
      </c>
      <c r="G208" s="1">
        <v>37439</v>
      </c>
    </row>
    <row r="209" spans="1:7">
      <c r="A209" s="19">
        <v>59003</v>
      </c>
      <c r="B209" s="1">
        <v>2024</v>
      </c>
      <c r="C209" s="1" t="s">
        <v>373</v>
      </c>
      <c r="D209" s="1">
        <v>30</v>
      </c>
      <c r="E209" s="1">
        <v>37</v>
      </c>
      <c r="F209" s="1">
        <v>71308</v>
      </c>
      <c r="G209" s="1">
        <v>34287</v>
      </c>
    </row>
    <row r="210" spans="1:7">
      <c r="A210" s="19">
        <v>60001</v>
      </c>
      <c r="B210" s="1">
        <v>2024</v>
      </c>
      <c r="C210" s="1" t="s">
        <v>374</v>
      </c>
      <c r="D210" s="1">
        <v>51</v>
      </c>
      <c r="E210" s="1">
        <v>25</v>
      </c>
      <c r="F210" s="1">
        <v>76907</v>
      </c>
      <c r="G210" s="1">
        <v>38732</v>
      </c>
    </row>
    <row r="211" spans="1:7">
      <c r="A211" s="19">
        <v>60003</v>
      </c>
      <c r="B211" s="1">
        <v>2024</v>
      </c>
      <c r="C211" s="1" t="s">
        <v>375</v>
      </c>
      <c r="D211" s="1">
        <v>106</v>
      </c>
      <c r="E211" s="1">
        <v>56</v>
      </c>
      <c r="F211" s="1">
        <v>168645</v>
      </c>
      <c r="G211" s="1">
        <v>58446</v>
      </c>
    </row>
    <row r="212" spans="1:7">
      <c r="A212" s="19">
        <v>60006</v>
      </c>
      <c r="B212" s="1">
        <v>2024</v>
      </c>
      <c r="C212" s="1" t="s">
        <v>376</v>
      </c>
      <c r="D212" s="1">
        <v>54</v>
      </c>
      <c r="E212" s="1">
        <v>41</v>
      </c>
      <c r="F212" s="1">
        <v>97890</v>
      </c>
      <c r="G212" s="1">
        <v>30201</v>
      </c>
    </row>
    <row r="213" spans="1:7">
      <c r="A213" s="19">
        <v>60008</v>
      </c>
      <c r="B213" s="1">
        <v>2024</v>
      </c>
      <c r="C213" s="1" t="s">
        <v>377</v>
      </c>
      <c r="D213" s="1">
        <v>30</v>
      </c>
      <c r="E213" s="1">
        <v>3</v>
      </c>
      <c r="F213" s="1">
        <v>66827</v>
      </c>
      <c r="G213" s="1">
        <v>19318</v>
      </c>
    </row>
    <row r="214" spans="1:7">
      <c r="A214" s="19">
        <v>61002</v>
      </c>
      <c r="B214" s="1">
        <v>2024</v>
      </c>
      <c r="C214" s="1" t="s">
        <v>378</v>
      </c>
      <c r="D214" s="1">
        <v>27</v>
      </c>
      <c r="E214" s="1">
        <v>11</v>
      </c>
      <c r="F214" s="1">
        <v>42930</v>
      </c>
      <c r="G214" s="1">
        <v>32688</v>
      </c>
    </row>
    <row r="215" spans="1:7">
      <c r="A215" s="19">
        <v>61003</v>
      </c>
      <c r="B215" s="1">
        <v>2024</v>
      </c>
      <c r="C215" s="1" t="s">
        <v>379</v>
      </c>
      <c r="D215" s="1">
        <v>50</v>
      </c>
      <c r="E215" s="1">
        <v>72</v>
      </c>
      <c r="F215" s="1">
        <v>109983</v>
      </c>
      <c r="G215" s="1">
        <v>57667</v>
      </c>
    </row>
    <row r="216" spans="1:7">
      <c r="A216" s="19">
        <v>62002</v>
      </c>
      <c r="B216" s="1">
        <v>2024</v>
      </c>
      <c r="C216" s="1" t="s">
        <v>380</v>
      </c>
      <c r="D216" s="1">
        <v>16</v>
      </c>
      <c r="E216" s="1">
        <v>91</v>
      </c>
      <c r="F216" s="1">
        <v>77985</v>
      </c>
      <c r="G216" s="1">
        <v>38488</v>
      </c>
    </row>
    <row r="217" spans="1:7">
      <c r="A217" s="19">
        <v>62003</v>
      </c>
      <c r="B217" s="1">
        <v>2024</v>
      </c>
      <c r="C217" s="1" t="s">
        <v>381</v>
      </c>
      <c r="D217" s="1">
        <v>36</v>
      </c>
      <c r="E217" s="1">
        <v>9</v>
      </c>
      <c r="F217" s="1">
        <v>81166</v>
      </c>
      <c r="G217" s="1">
        <v>21618</v>
      </c>
    </row>
    <row r="218" spans="1:7">
      <c r="A218" s="19">
        <v>62004</v>
      </c>
      <c r="B218" s="1">
        <v>2024</v>
      </c>
      <c r="C218" s="1" t="s">
        <v>382</v>
      </c>
      <c r="D218" s="1">
        <v>31</v>
      </c>
      <c r="E218" s="1">
        <v>11</v>
      </c>
      <c r="F218" s="1">
        <v>39820</v>
      </c>
      <c r="G218" s="1">
        <v>35735</v>
      </c>
    </row>
    <row r="219" spans="1:7">
      <c r="A219" s="19">
        <v>62006</v>
      </c>
      <c r="B219" s="1">
        <v>2024</v>
      </c>
      <c r="C219" s="1" t="s">
        <v>383</v>
      </c>
      <c r="D219" s="1">
        <v>42</v>
      </c>
      <c r="E219" s="1">
        <v>23</v>
      </c>
      <c r="F219" s="1">
        <v>82858</v>
      </c>
      <c r="G219" s="1">
        <v>33645</v>
      </c>
    </row>
    <row r="220" spans="1:7">
      <c r="A220" s="19">
        <v>62007</v>
      </c>
      <c r="B220" s="1">
        <v>2024</v>
      </c>
      <c r="C220" s="1" t="s">
        <v>384</v>
      </c>
      <c r="D220" s="1">
        <v>51</v>
      </c>
      <c r="E220" s="1">
        <v>17</v>
      </c>
      <c r="F220" s="1">
        <v>134932</v>
      </c>
      <c r="G220" s="1">
        <v>39938</v>
      </c>
    </row>
    <row r="221" spans="1:7">
      <c r="A221" s="19">
        <v>62008</v>
      </c>
      <c r="B221" s="1">
        <v>2024</v>
      </c>
      <c r="C221" s="1" t="s">
        <v>385</v>
      </c>
      <c r="D221" s="1">
        <v>75</v>
      </c>
      <c r="E221" s="1">
        <v>37</v>
      </c>
      <c r="F221" s="1">
        <v>181105</v>
      </c>
      <c r="G221" s="1">
        <v>40187</v>
      </c>
    </row>
    <row r="222" spans="1:7">
      <c r="A222" s="19">
        <v>62009</v>
      </c>
      <c r="B222" s="1">
        <v>2024</v>
      </c>
      <c r="C222" s="1" t="s">
        <v>386</v>
      </c>
      <c r="D222" s="1">
        <v>145</v>
      </c>
      <c r="E222" s="1">
        <v>83</v>
      </c>
      <c r="F222" s="1">
        <v>282372</v>
      </c>
      <c r="G222" s="1">
        <v>78574</v>
      </c>
    </row>
    <row r="223" spans="1:7">
      <c r="A223" s="19">
        <v>62010</v>
      </c>
      <c r="B223" s="1">
        <v>2024</v>
      </c>
      <c r="C223" s="1" t="s">
        <v>387</v>
      </c>
      <c r="D223" s="1">
        <v>60</v>
      </c>
      <c r="E223" s="1">
        <v>37</v>
      </c>
      <c r="F223" s="1">
        <v>113621</v>
      </c>
      <c r="G223" s="1">
        <v>46365</v>
      </c>
    </row>
    <row r="224" spans="1:7">
      <c r="A224" s="19">
        <v>62011</v>
      </c>
      <c r="B224" s="1">
        <v>2024</v>
      </c>
      <c r="C224" s="1" t="s">
        <v>388</v>
      </c>
      <c r="D224" s="1">
        <v>28</v>
      </c>
      <c r="E224" s="1">
        <v>30</v>
      </c>
      <c r="F224" s="1">
        <v>33092</v>
      </c>
      <c r="G224" s="1">
        <v>23864</v>
      </c>
    </row>
    <row r="225" spans="1:7">
      <c r="A225" s="19">
        <v>62012</v>
      </c>
      <c r="B225" s="1">
        <v>2024</v>
      </c>
      <c r="C225" s="1" t="s">
        <v>389</v>
      </c>
      <c r="D225" s="1">
        <v>71</v>
      </c>
      <c r="E225" s="1">
        <v>41</v>
      </c>
      <c r="F225" s="1">
        <v>147098</v>
      </c>
      <c r="G225" s="1">
        <v>63225</v>
      </c>
    </row>
    <row r="226" spans="1:7">
      <c r="A226" s="19">
        <v>62013</v>
      </c>
      <c r="B226" s="1">
        <v>2024</v>
      </c>
      <c r="C226" s="1" t="s">
        <v>390</v>
      </c>
      <c r="D226" s="1">
        <v>178</v>
      </c>
      <c r="E226" s="1">
        <v>80</v>
      </c>
      <c r="F226" s="1">
        <v>244660</v>
      </c>
      <c r="G226" s="1">
        <v>102724</v>
      </c>
    </row>
    <row r="227" spans="1:7">
      <c r="A227" s="19">
        <v>62015</v>
      </c>
      <c r="B227" s="1">
        <v>2024</v>
      </c>
      <c r="C227" s="1" t="s">
        <v>391</v>
      </c>
      <c r="D227" s="1">
        <v>251</v>
      </c>
      <c r="E227" s="1">
        <v>139</v>
      </c>
      <c r="F227" s="1">
        <v>437708</v>
      </c>
      <c r="G227" s="1">
        <v>142188</v>
      </c>
    </row>
    <row r="228" spans="1:7">
      <c r="A228" s="19">
        <v>62016</v>
      </c>
      <c r="B228" s="1">
        <v>2024</v>
      </c>
      <c r="C228" s="1" t="s">
        <v>392</v>
      </c>
      <c r="D228" s="1">
        <v>51</v>
      </c>
      <c r="E228" s="1">
        <v>16</v>
      </c>
      <c r="F228" s="1">
        <v>108668</v>
      </c>
      <c r="G228" s="1">
        <v>46104</v>
      </c>
    </row>
    <row r="229" spans="1:7">
      <c r="A229" s="19">
        <v>62017</v>
      </c>
      <c r="B229" s="1">
        <v>2024</v>
      </c>
      <c r="C229" s="1" t="s">
        <v>393</v>
      </c>
      <c r="D229" s="1">
        <v>68</v>
      </c>
      <c r="E229" s="1">
        <v>23</v>
      </c>
      <c r="F229" s="1">
        <v>118113</v>
      </c>
      <c r="G229" s="1">
        <v>42951</v>
      </c>
    </row>
    <row r="230" spans="1:7">
      <c r="A230" s="19">
        <v>62019</v>
      </c>
      <c r="B230" s="1">
        <v>2024</v>
      </c>
      <c r="C230" s="1" t="s">
        <v>394</v>
      </c>
      <c r="D230" s="1">
        <v>37</v>
      </c>
      <c r="E230" s="1">
        <v>15</v>
      </c>
      <c r="F230" s="1">
        <v>55840</v>
      </c>
      <c r="G230" s="1">
        <v>23867</v>
      </c>
    </row>
    <row r="231" spans="1:7">
      <c r="A231" s="19">
        <v>62022</v>
      </c>
      <c r="B231" s="1">
        <v>2024</v>
      </c>
      <c r="C231" s="1" t="s">
        <v>395</v>
      </c>
      <c r="D231" s="1">
        <v>98</v>
      </c>
      <c r="E231" s="1">
        <v>38</v>
      </c>
      <c r="F231" s="1">
        <v>201366</v>
      </c>
      <c r="G231" s="1">
        <v>36631</v>
      </c>
    </row>
    <row r="232" spans="1:7">
      <c r="A232" s="19">
        <v>62026</v>
      </c>
      <c r="B232" s="1">
        <v>2024</v>
      </c>
      <c r="C232" s="1" t="s">
        <v>396</v>
      </c>
      <c r="D232" s="1">
        <v>110</v>
      </c>
      <c r="E232" s="1">
        <v>52</v>
      </c>
      <c r="F232" s="1">
        <v>179082</v>
      </c>
      <c r="G232" s="1">
        <v>71703</v>
      </c>
    </row>
    <row r="233" spans="1:7">
      <c r="A233" s="19">
        <v>62027</v>
      </c>
      <c r="B233" s="1">
        <v>2024</v>
      </c>
      <c r="C233" s="1" t="s">
        <v>397</v>
      </c>
      <c r="D233" s="1">
        <v>90</v>
      </c>
      <c r="E233" s="1">
        <v>34</v>
      </c>
      <c r="F233" s="1">
        <v>197025</v>
      </c>
      <c r="G233" s="1">
        <v>50794</v>
      </c>
    </row>
    <row r="234" spans="1:7">
      <c r="A234" s="19">
        <v>62028</v>
      </c>
      <c r="B234" s="1">
        <v>2024</v>
      </c>
      <c r="C234" s="1" t="s">
        <v>398</v>
      </c>
      <c r="D234" s="1">
        <v>68</v>
      </c>
      <c r="E234" s="1">
        <v>22</v>
      </c>
      <c r="F234" s="1">
        <v>112771</v>
      </c>
      <c r="G234" s="1">
        <v>35891</v>
      </c>
    </row>
    <row r="235" spans="1:7">
      <c r="A235" s="19">
        <v>62030</v>
      </c>
      <c r="B235" s="1">
        <v>2024</v>
      </c>
      <c r="C235" s="1" t="s">
        <v>399</v>
      </c>
      <c r="D235" s="1">
        <v>69</v>
      </c>
      <c r="E235" s="1">
        <v>54</v>
      </c>
      <c r="F235" s="1">
        <v>134729</v>
      </c>
      <c r="G235" s="1">
        <v>45107</v>
      </c>
    </row>
    <row r="236" spans="1:7">
      <c r="A236" s="19">
        <v>62031</v>
      </c>
      <c r="B236" s="1">
        <v>2024</v>
      </c>
      <c r="C236" s="1" t="s">
        <v>400</v>
      </c>
      <c r="D236" s="1">
        <v>91</v>
      </c>
      <c r="E236" s="1">
        <v>43</v>
      </c>
      <c r="F236" s="1">
        <v>221090</v>
      </c>
      <c r="G236" s="1">
        <v>51896</v>
      </c>
    </row>
    <row r="237" spans="1:7">
      <c r="A237" s="19">
        <v>62032</v>
      </c>
      <c r="B237" s="1">
        <v>2024</v>
      </c>
      <c r="C237" s="1" t="s">
        <v>401</v>
      </c>
      <c r="D237" s="1">
        <v>78</v>
      </c>
      <c r="E237" s="1">
        <v>60</v>
      </c>
      <c r="F237" s="1">
        <v>127018</v>
      </c>
      <c r="G237" s="1">
        <v>52405</v>
      </c>
    </row>
    <row r="238" spans="1:7">
      <c r="A238" s="19">
        <v>62034</v>
      </c>
      <c r="B238" s="1">
        <v>2024</v>
      </c>
      <c r="C238" s="1" t="s">
        <v>402</v>
      </c>
      <c r="D238" s="1">
        <v>32</v>
      </c>
      <c r="E238" s="1">
        <v>26</v>
      </c>
      <c r="F238" s="1">
        <v>72084</v>
      </c>
      <c r="G238" s="1">
        <v>24908</v>
      </c>
    </row>
    <row r="239" spans="1:7">
      <c r="A239" s="19">
        <v>62037</v>
      </c>
      <c r="B239" s="1">
        <v>2024</v>
      </c>
      <c r="C239" s="1" t="s">
        <v>403</v>
      </c>
      <c r="D239" s="1">
        <v>87</v>
      </c>
      <c r="E239" s="1">
        <v>67</v>
      </c>
      <c r="F239" s="1">
        <v>110807</v>
      </c>
      <c r="G239" s="1">
        <v>43262</v>
      </c>
    </row>
    <row r="240" spans="1:7">
      <c r="A240" s="19">
        <v>62040</v>
      </c>
      <c r="B240" s="1">
        <v>2024</v>
      </c>
      <c r="C240" s="1" t="s">
        <v>404</v>
      </c>
      <c r="D240" s="1">
        <v>72</v>
      </c>
      <c r="E240" s="1">
        <v>45</v>
      </c>
      <c r="F240" s="1">
        <v>79222</v>
      </c>
      <c r="G240" s="1">
        <v>28105</v>
      </c>
    </row>
    <row r="241" spans="1:7">
      <c r="A241" s="19">
        <v>62041</v>
      </c>
      <c r="B241" s="1">
        <v>2024</v>
      </c>
      <c r="C241" s="1" t="s">
        <v>405</v>
      </c>
      <c r="D241" s="1">
        <v>64</v>
      </c>
      <c r="E241" s="1">
        <v>38</v>
      </c>
      <c r="F241" s="1">
        <v>132140</v>
      </c>
      <c r="G241" s="1">
        <v>29500</v>
      </c>
    </row>
    <row r="242" spans="1:7">
      <c r="A242" s="19">
        <v>62042</v>
      </c>
      <c r="B242" s="1">
        <v>2024</v>
      </c>
      <c r="C242" s="1" t="s">
        <v>406</v>
      </c>
      <c r="D242" s="1">
        <v>47</v>
      </c>
      <c r="E242" s="1">
        <v>21</v>
      </c>
      <c r="F242" s="1">
        <v>92590</v>
      </c>
      <c r="G242" s="1">
        <v>31231</v>
      </c>
    </row>
    <row r="243" spans="1:7">
      <c r="A243" s="19">
        <v>64001</v>
      </c>
      <c r="B243" s="1">
        <v>2024</v>
      </c>
      <c r="C243" s="1" t="s">
        <v>407</v>
      </c>
      <c r="D243" s="1">
        <v>25</v>
      </c>
      <c r="E243" s="1">
        <v>11</v>
      </c>
      <c r="F243" s="1">
        <v>46509</v>
      </c>
      <c r="G243" s="1">
        <v>26443</v>
      </c>
    </row>
    <row r="244" spans="1:7">
      <c r="A244" s="19">
        <v>64002</v>
      </c>
      <c r="B244" s="1">
        <v>2024</v>
      </c>
      <c r="C244" s="1" t="s">
        <v>408</v>
      </c>
      <c r="D244" s="1">
        <v>42</v>
      </c>
      <c r="E244" s="1">
        <v>30</v>
      </c>
      <c r="F244" s="1">
        <v>52744</v>
      </c>
      <c r="G244" s="1">
        <v>30354</v>
      </c>
    </row>
    <row r="245" spans="1:7">
      <c r="A245" s="19">
        <v>64003</v>
      </c>
      <c r="B245" s="1">
        <v>2024</v>
      </c>
      <c r="C245" s="1" t="s">
        <v>409</v>
      </c>
      <c r="D245" s="1">
        <v>12</v>
      </c>
      <c r="E245" s="1">
        <v>25</v>
      </c>
      <c r="F245" s="1">
        <v>23602</v>
      </c>
      <c r="G245" s="1">
        <v>21157</v>
      </c>
    </row>
    <row r="246" spans="1:7">
      <c r="A246" s="19">
        <v>64004</v>
      </c>
      <c r="B246" s="1">
        <v>2024</v>
      </c>
      <c r="C246" s="1" t="s">
        <v>410</v>
      </c>
      <c r="D246" s="1">
        <v>28</v>
      </c>
      <c r="E246" s="1">
        <v>14</v>
      </c>
      <c r="F246" s="1">
        <v>58206</v>
      </c>
      <c r="G246" s="1">
        <v>16940</v>
      </c>
    </row>
    <row r="247" spans="1:7">
      <c r="A247" s="19">
        <v>64005</v>
      </c>
      <c r="B247" s="1">
        <v>2024</v>
      </c>
      <c r="C247" s="1" t="s">
        <v>411</v>
      </c>
      <c r="D247" s="1">
        <v>16</v>
      </c>
      <c r="E247" s="1">
        <v>32</v>
      </c>
      <c r="F247" s="1">
        <v>33988</v>
      </c>
      <c r="G247" s="1">
        <v>23221</v>
      </c>
    </row>
    <row r="248" spans="1:7">
      <c r="A248" s="19">
        <v>65001</v>
      </c>
      <c r="B248" s="1">
        <v>2024</v>
      </c>
      <c r="C248" s="1" t="s">
        <v>412</v>
      </c>
      <c r="D248" s="1">
        <v>38</v>
      </c>
      <c r="E248" s="1">
        <v>35</v>
      </c>
      <c r="F248" s="1">
        <v>56260</v>
      </c>
      <c r="G248" s="1">
        <v>33324</v>
      </c>
    </row>
    <row r="249" spans="1:7">
      <c r="A249" s="19">
        <v>65002</v>
      </c>
      <c r="B249" s="1">
        <v>2024</v>
      </c>
      <c r="C249" s="1" t="s">
        <v>413</v>
      </c>
      <c r="D249" s="1">
        <v>31</v>
      </c>
      <c r="E249" s="1">
        <v>13</v>
      </c>
      <c r="F249" s="1">
        <v>64808</v>
      </c>
      <c r="G249" s="1">
        <v>31592</v>
      </c>
    </row>
    <row r="250" spans="1:7">
      <c r="A250" s="19">
        <v>65003</v>
      </c>
      <c r="B250" s="1">
        <v>2024</v>
      </c>
      <c r="C250" s="1" t="s">
        <v>414</v>
      </c>
      <c r="D250" s="1">
        <v>23</v>
      </c>
      <c r="E250" s="1">
        <v>10</v>
      </c>
      <c r="F250" s="1">
        <v>43247</v>
      </c>
      <c r="G250" s="1">
        <v>24600</v>
      </c>
    </row>
    <row r="251" spans="1:7">
      <c r="A251" s="19">
        <v>65004</v>
      </c>
      <c r="B251" s="1">
        <v>2024</v>
      </c>
      <c r="C251" s="1" t="s">
        <v>415</v>
      </c>
      <c r="D251" s="1">
        <v>48</v>
      </c>
      <c r="E251" s="1">
        <v>44</v>
      </c>
      <c r="F251" s="1">
        <v>85865</v>
      </c>
      <c r="G251" s="1">
        <v>27532</v>
      </c>
    </row>
    <row r="252" spans="1:7">
      <c r="A252" s="19">
        <v>66001</v>
      </c>
      <c r="B252" s="1">
        <v>2024</v>
      </c>
      <c r="C252" s="1" t="s">
        <v>416</v>
      </c>
      <c r="D252" s="1">
        <v>81</v>
      </c>
      <c r="E252" s="1">
        <v>102</v>
      </c>
      <c r="F252" s="1">
        <v>145494</v>
      </c>
      <c r="G252" s="1">
        <v>54812</v>
      </c>
    </row>
    <row r="253" spans="1:7">
      <c r="A253" s="19">
        <v>66002</v>
      </c>
      <c r="B253" s="1">
        <v>2024</v>
      </c>
      <c r="C253" s="1" t="s">
        <v>417</v>
      </c>
      <c r="D253" s="1">
        <v>37</v>
      </c>
      <c r="E253" s="1">
        <v>14</v>
      </c>
      <c r="F253" s="1">
        <v>84403</v>
      </c>
      <c r="G253" s="1">
        <v>32851</v>
      </c>
    </row>
    <row r="254" spans="1:7">
      <c r="A254" s="19">
        <v>67001</v>
      </c>
      <c r="B254" s="1">
        <v>2024</v>
      </c>
      <c r="C254" s="1" t="s">
        <v>418</v>
      </c>
      <c r="D254" s="1">
        <v>27</v>
      </c>
      <c r="E254" s="1">
        <v>13</v>
      </c>
      <c r="F254" s="1">
        <v>71733</v>
      </c>
      <c r="G254" s="1">
        <v>32940</v>
      </c>
    </row>
    <row r="255" spans="1:7">
      <c r="A255" s="19">
        <v>67002</v>
      </c>
      <c r="B255" s="1">
        <v>2024</v>
      </c>
      <c r="C255" s="1" t="s">
        <v>419</v>
      </c>
      <c r="D255" s="1">
        <v>41</v>
      </c>
      <c r="E255" s="1">
        <v>32</v>
      </c>
      <c r="F255" s="1">
        <v>64260</v>
      </c>
      <c r="G255" s="1">
        <v>38726</v>
      </c>
    </row>
    <row r="256" spans="1:7">
      <c r="A256" s="19">
        <v>68001</v>
      </c>
      <c r="B256" s="1">
        <v>2024</v>
      </c>
      <c r="C256" s="1" t="s">
        <v>420</v>
      </c>
      <c r="D256" s="1">
        <v>80</v>
      </c>
      <c r="E256" s="1">
        <v>13</v>
      </c>
      <c r="F256" s="1">
        <v>54841</v>
      </c>
      <c r="G256" s="1">
        <v>1</v>
      </c>
    </row>
    <row r="257" spans="1:7">
      <c r="A257" s="19">
        <v>68002</v>
      </c>
      <c r="B257" s="1">
        <v>2024</v>
      </c>
      <c r="C257" s="1" t="s">
        <v>421</v>
      </c>
      <c r="D257" s="1">
        <v>101</v>
      </c>
      <c r="E257" s="1">
        <v>16</v>
      </c>
      <c r="F257" s="1">
        <v>70089</v>
      </c>
      <c r="G257" s="1">
        <v>1</v>
      </c>
    </row>
    <row r="258" spans="1:7">
      <c r="A258" s="19">
        <v>68003</v>
      </c>
      <c r="B258" s="1">
        <v>2024</v>
      </c>
      <c r="C258" s="1" t="s">
        <v>422</v>
      </c>
      <c r="D258" s="1">
        <v>47</v>
      </c>
      <c r="E258" s="1">
        <v>15</v>
      </c>
      <c r="F258" s="1">
        <v>89981</v>
      </c>
      <c r="G258" s="1">
        <v>49487</v>
      </c>
    </row>
    <row r="259" spans="1:7">
      <c r="A259" s="19">
        <v>69001</v>
      </c>
      <c r="B259" s="1">
        <v>2024</v>
      </c>
      <c r="C259" s="1" t="s">
        <v>423</v>
      </c>
      <c r="D259" s="1">
        <v>48</v>
      </c>
      <c r="E259" s="1">
        <v>59</v>
      </c>
      <c r="F259" s="1">
        <v>97314</v>
      </c>
      <c r="G259" s="1">
        <v>48514</v>
      </c>
    </row>
    <row r="260" spans="1:7">
      <c r="A260" s="19">
        <v>69002</v>
      </c>
      <c r="B260" s="1">
        <v>2024</v>
      </c>
      <c r="C260" s="1" t="s">
        <v>424</v>
      </c>
      <c r="D260" s="1">
        <v>85</v>
      </c>
      <c r="E260" s="1">
        <v>69</v>
      </c>
      <c r="F260" s="1">
        <v>124355</v>
      </c>
      <c r="G260" s="1">
        <v>68376</v>
      </c>
    </row>
    <row r="261" spans="1:7">
      <c r="A261" s="19">
        <v>69003</v>
      </c>
      <c r="B261" s="1">
        <v>2024</v>
      </c>
      <c r="C261" s="1" t="s">
        <v>425</v>
      </c>
      <c r="D261" s="1">
        <v>44</v>
      </c>
      <c r="E261" s="1">
        <v>4</v>
      </c>
      <c r="F261" s="1">
        <v>73472</v>
      </c>
      <c r="G261" s="1">
        <v>28466</v>
      </c>
    </row>
    <row r="262" spans="1:7">
      <c r="A262" s="19">
        <v>69004</v>
      </c>
      <c r="B262" s="1">
        <v>2024</v>
      </c>
      <c r="C262" s="1" t="s">
        <v>426</v>
      </c>
      <c r="D262" s="1">
        <v>21</v>
      </c>
      <c r="E262" s="1">
        <v>11</v>
      </c>
      <c r="F262" s="1">
        <v>52009</v>
      </c>
      <c r="G262" s="1">
        <v>29090</v>
      </c>
    </row>
    <row r="263" spans="1:7">
      <c r="A263" s="19">
        <v>69006</v>
      </c>
      <c r="B263" s="1">
        <v>2024</v>
      </c>
      <c r="C263" s="1" t="s">
        <v>427</v>
      </c>
      <c r="D263" s="1">
        <v>51</v>
      </c>
      <c r="E263" s="1">
        <v>26</v>
      </c>
      <c r="F263" s="1">
        <v>16178</v>
      </c>
      <c r="G263" s="1">
        <v>12437</v>
      </c>
    </row>
    <row r="264" spans="1:7">
      <c r="A264" s="19">
        <v>69007</v>
      </c>
      <c r="B264" s="1">
        <v>2024</v>
      </c>
      <c r="C264" s="1" t="s">
        <v>428</v>
      </c>
      <c r="D264" s="1">
        <v>49</v>
      </c>
      <c r="E264" s="1">
        <v>7</v>
      </c>
      <c r="F264" s="1">
        <v>97131</v>
      </c>
      <c r="G264" s="1">
        <v>26095</v>
      </c>
    </row>
    <row r="265" spans="1:7">
      <c r="A265" s="19">
        <v>69008</v>
      </c>
      <c r="B265" s="1">
        <v>2024</v>
      </c>
      <c r="C265" s="1" t="s">
        <v>429</v>
      </c>
      <c r="D265" s="1">
        <v>35</v>
      </c>
      <c r="E265" s="1">
        <v>24</v>
      </c>
      <c r="F265" s="1">
        <v>65492</v>
      </c>
      <c r="G265" s="1">
        <v>32807</v>
      </c>
    </row>
    <row r="266" spans="1:7">
      <c r="A266" s="19">
        <v>69009</v>
      </c>
      <c r="B266" s="1">
        <v>2024</v>
      </c>
      <c r="C266" s="1" t="s">
        <v>430</v>
      </c>
      <c r="D266" s="1">
        <v>31</v>
      </c>
      <c r="E266" s="1">
        <v>24</v>
      </c>
      <c r="F266" s="1">
        <v>60382</v>
      </c>
      <c r="G266" s="1">
        <v>22994</v>
      </c>
    </row>
    <row r="267" spans="1:7">
      <c r="A267" s="19">
        <v>69010</v>
      </c>
      <c r="B267" s="1">
        <v>2024</v>
      </c>
      <c r="C267" s="1" t="s">
        <v>431</v>
      </c>
      <c r="D267" s="1">
        <v>51</v>
      </c>
      <c r="E267" s="1">
        <v>26</v>
      </c>
      <c r="F267" s="1">
        <v>62895</v>
      </c>
      <c r="G267" s="1">
        <v>48352</v>
      </c>
    </row>
    <row r="268" spans="1:7">
      <c r="A268" s="19">
        <v>69011</v>
      </c>
      <c r="B268" s="1">
        <v>2024</v>
      </c>
      <c r="C268" s="1" t="s">
        <v>432</v>
      </c>
      <c r="D268" s="1">
        <v>40</v>
      </c>
      <c r="E268" s="1">
        <v>6</v>
      </c>
      <c r="F268" s="1">
        <v>65372</v>
      </c>
      <c r="G268" s="1">
        <v>25637</v>
      </c>
    </row>
    <row r="269" spans="1:7">
      <c r="A269" s="19">
        <v>69015</v>
      </c>
      <c r="B269" s="1">
        <v>2024</v>
      </c>
      <c r="C269" s="1" t="s">
        <v>433</v>
      </c>
      <c r="D269" s="1">
        <v>31</v>
      </c>
      <c r="E269" s="1">
        <v>17</v>
      </c>
      <c r="F269" s="1">
        <v>40283</v>
      </c>
      <c r="G269" s="1">
        <v>28793</v>
      </c>
    </row>
    <row r="270" spans="1:7">
      <c r="A270" s="19">
        <v>69017</v>
      </c>
      <c r="B270" s="1">
        <v>2024</v>
      </c>
      <c r="C270" s="1" t="s">
        <v>434</v>
      </c>
      <c r="D270" s="1">
        <v>43</v>
      </c>
      <c r="E270" s="1">
        <v>60</v>
      </c>
      <c r="F270" s="1">
        <v>95665</v>
      </c>
      <c r="G270" s="1">
        <v>35088</v>
      </c>
    </row>
    <row r="271" spans="1:7">
      <c r="A271" s="19">
        <v>69018</v>
      </c>
      <c r="B271" s="1">
        <v>2024</v>
      </c>
      <c r="C271" s="1" t="s">
        <v>435</v>
      </c>
      <c r="D271" s="1">
        <v>11</v>
      </c>
      <c r="E271" s="1">
        <v>15</v>
      </c>
      <c r="F271" s="1">
        <v>43865</v>
      </c>
      <c r="G271" s="1">
        <v>20675</v>
      </c>
    </row>
    <row r="272" spans="1:7">
      <c r="A272" s="19">
        <v>69019</v>
      </c>
      <c r="B272" s="1">
        <v>2024</v>
      </c>
      <c r="C272" s="1" t="s">
        <v>436</v>
      </c>
      <c r="D272" s="1">
        <v>65</v>
      </c>
      <c r="E272" s="1">
        <v>37</v>
      </c>
      <c r="F272" s="1">
        <v>127744</v>
      </c>
      <c r="G272" s="1">
        <v>48848</v>
      </c>
    </row>
    <row r="273" spans="1:7">
      <c r="A273" s="19">
        <v>69020</v>
      </c>
      <c r="B273" s="1">
        <v>2024</v>
      </c>
      <c r="C273" s="1" t="s">
        <v>437</v>
      </c>
      <c r="D273" s="1">
        <v>89</v>
      </c>
      <c r="E273" s="1">
        <v>29</v>
      </c>
      <c r="F273" s="1">
        <v>147449</v>
      </c>
      <c r="G273" s="1">
        <v>71379</v>
      </c>
    </row>
    <row r="274" spans="1:7">
      <c r="A274" s="19">
        <v>69021</v>
      </c>
      <c r="B274" s="1">
        <v>2024</v>
      </c>
      <c r="C274" s="1" t="s">
        <v>438</v>
      </c>
      <c r="D274" s="1">
        <v>32</v>
      </c>
      <c r="E274" s="1">
        <v>50</v>
      </c>
      <c r="F274" s="1">
        <v>72473</v>
      </c>
      <c r="G274" s="1">
        <v>41422</v>
      </c>
    </row>
    <row r="275" spans="1:7">
      <c r="A275" s="19">
        <v>69022</v>
      </c>
      <c r="B275" s="1">
        <v>2024</v>
      </c>
      <c r="C275" s="1" t="s">
        <v>439</v>
      </c>
      <c r="D275" s="1">
        <v>48</v>
      </c>
      <c r="E275" s="1">
        <v>29</v>
      </c>
      <c r="F275" s="1">
        <v>48204</v>
      </c>
      <c r="G275" s="1">
        <v>1</v>
      </c>
    </row>
    <row r="276" spans="1:7">
      <c r="A276" s="19">
        <v>70001</v>
      </c>
      <c r="B276" s="1">
        <v>2024</v>
      </c>
      <c r="C276" s="1" t="s">
        <v>440</v>
      </c>
      <c r="D276" s="1">
        <v>79</v>
      </c>
      <c r="E276" s="1">
        <v>48</v>
      </c>
      <c r="F276" s="1">
        <v>120458</v>
      </c>
      <c r="G276" s="1">
        <v>39535</v>
      </c>
    </row>
    <row r="277" spans="1:7">
      <c r="A277" s="19">
        <v>70002</v>
      </c>
      <c r="B277" s="1">
        <v>2024</v>
      </c>
      <c r="C277" s="1" t="s">
        <v>441</v>
      </c>
      <c r="D277" s="1">
        <v>32</v>
      </c>
      <c r="E277" s="1">
        <v>18</v>
      </c>
      <c r="F277" s="1">
        <v>64702</v>
      </c>
      <c r="G277" s="1">
        <v>36994</v>
      </c>
    </row>
    <row r="278" spans="1:7">
      <c r="A278" s="19">
        <v>70003</v>
      </c>
      <c r="B278" s="1">
        <v>2024</v>
      </c>
      <c r="C278" s="1" t="s">
        <v>442</v>
      </c>
      <c r="D278" s="1">
        <v>94</v>
      </c>
      <c r="E278" s="1">
        <v>32</v>
      </c>
      <c r="F278" s="1">
        <v>171072</v>
      </c>
      <c r="G278" s="1">
        <v>40612</v>
      </c>
    </row>
    <row r="279" spans="1:7">
      <c r="A279" s="19">
        <v>70004</v>
      </c>
      <c r="B279" s="1">
        <v>2024</v>
      </c>
      <c r="C279" s="1" t="s">
        <v>443</v>
      </c>
      <c r="D279" s="1">
        <v>46</v>
      </c>
      <c r="E279" s="1">
        <v>29</v>
      </c>
      <c r="F279" s="1">
        <v>105139</v>
      </c>
      <c r="G279" s="1">
        <v>38703</v>
      </c>
    </row>
    <row r="280" spans="1:7">
      <c r="A280" s="19">
        <v>71001</v>
      </c>
      <c r="B280" s="1">
        <v>2024</v>
      </c>
      <c r="C280" s="1" t="s">
        <v>444</v>
      </c>
      <c r="D280" s="1">
        <v>101</v>
      </c>
      <c r="E280" s="1">
        <v>51</v>
      </c>
      <c r="F280" s="1">
        <v>231456</v>
      </c>
      <c r="G280" s="1">
        <v>73515</v>
      </c>
    </row>
    <row r="281" spans="1:7">
      <c r="A281" s="19">
        <v>71002</v>
      </c>
      <c r="B281" s="1">
        <v>2024</v>
      </c>
      <c r="C281" s="1" t="s">
        <v>445</v>
      </c>
      <c r="D281" s="1">
        <v>52</v>
      </c>
      <c r="E281" s="1">
        <v>62</v>
      </c>
      <c r="F281" s="1">
        <v>113581</v>
      </c>
      <c r="G281" s="1">
        <v>40921</v>
      </c>
    </row>
    <row r="282" spans="1:7">
      <c r="A282" s="19">
        <v>71004</v>
      </c>
      <c r="B282" s="1">
        <v>2024</v>
      </c>
      <c r="C282" s="1" t="s">
        <v>446</v>
      </c>
      <c r="D282" s="1">
        <v>68</v>
      </c>
      <c r="E282" s="1">
        <v>56</v>
      </c>
      <c r="F282" s="1">
        <v>87287</v>
      </c>
      <c r="G282" s="1">
        <v>75746</v>
      </c>
    </row>
    <row r="283" spans="1:7">
      <c r="A283" s="19">
        <v>72001</v>
      </c>
      <c r="B283" s="1">
        <v>2024</v>
      </c>
      <c r="C283" s="1" t="s">
        <v>447</v>
      </c>
      <c r="D283" s="1">
        <v>28</v>
      </c>
      <c r="E283" s="1">
        <v>10</v>
      </c>
      <c r="F283" s="1">
        <v>34630</v>
      </c>
      <c r="G283" s="1">
        <v>19848</v>
      </c>
    </row>
    <row r="284" spans="1:7">
      <c r="A284" s="19">
        <v>73001</v>
      </c>
      <c r="B284" s="1">
        <v>2024</v>
      </c>
      <c r="C284" s="1" t="s">
        <v>448</v>
      </c>
      <c r="D284" s="1">
        <v>29</v>
      </c>
      <c r="E284" s="1">
        <v>26</v>
      </c>
      <c r="F284" s="1">
        <v>43164</v>
      </c>
      <c r="G284" s="1">
        <v>22813</v>
      </c>
    </row>
    <row r="285" spans="1:7">
      <c r="A285" s="19">
        <v>73002</v>
      </c>
      <c r="B285" s="1">
        <v>2024</v>
      </c>
      <c r="C285" s="1" t="s">
        <v>449</v>
      </c>
      <c r="D285" s="1">
        <v>72</v>
      </c>
      <c r="E285" s="1">
        <v>26</v>
      </c>
      <c r="F285" s="1">
        <v>134384</v>
      </c>
      <c r="G285" s="1">
        <v>52014</v>
      </c>
    </row>
    <row r="286" spans="1:7">
      <c r="A286" s="19">
        <v>73003</v>
      </c>
      <c r="B286" s="1">
        <v>2024</v>
      </c>
      <c r="C286" s="1" t="s">
        <v>450</v>
      </c>
      <c r="D286" s="1">
        <v>74</v>
      </c>
      <c r="E286" s="1">
        <v>36</v>
      </c>
      <c r="F286" s="1">
        <v>125039</v>
      </c>
      <c r="G286" s="1">
        <v>50846</v>
      </c>
    </row>
    <row r="287" spans="1:7">
      <c r="A287" s="19">
        <v>73004</v>
      </c>
      <c r="B287" s="1">
        <v>2024</v>
      </c>
      <c r="C287" s="1" t="s">
        <v>451</v>
      </c>
      <c r="D287" s="1">
        <v>49</v>
      </c>
      <c r="E287" s="1">
        <v>12</v>
      </c>
      <c r="F287" s="1">
        <v>72029</v>
      </c>
      <c r="G287" s="1">
        <v>33647</v>
      </c>
    </row>
    <row r="288" spans="1:7">
      <c r="A288" s="19">
        <v>73005</v>
      </c>
      <c r="B288" s="1">
        <v>2024</v>
      </c>
      <c r="C288" s="1" t="s">
        <v>452</v>
      </c>
      <c r="D288" s="1">
        <v>61</v>
      </c>
      <c r="E288" s="1">
        <v>30</v>
      </c>
      <c r="F288" s="1">
        <v>103509</v>
      </c>
      <c r="G288" s="1">
        <v>51532</v>
      </c>
    </row>
    <row r="289" spans="1:7">
      <c r="A289" s="19">
        <v>73006</v>
      </c>
      <c r="B289" s="1">
        <v>2024</v>
      </c>
      <c r="C289" s="1" t="s">
        <v>453</v>
      </c>
      <c r="D289" s="1">
        <v>40</v>
      </c>
      <c r="E289" s="1">
        <v>0</v>
      </c>
      <c r="F289" s="1">
        <v>54351</v>
      </c>
      <c r="G289" s="1">
        <v>9920</v>
      </c>
    </row>
    <row r="290" spans="1:7">
      <c r="A290" s="19">
        <v>73007</v>
      </c>
      <c r="B290" s="1">
        <v>2024</v>
      </c>
      <c r="C290" s="1" t="s">
        <v>454</v>
      </c>
      <c r="D290" s="1">
        <v>60</v>
      </c>
      <c r="E290" s="1">
        <v>53</v>
      </c>
      <c r="F290" s="1">
        <v>101270</v>
      </c>
      <c r="G290" s="1">
        <v>47962</v>
      </c>
    </row>
    <row r="291" spans="1:7">
      <c r="A291" s="19">
        <v>73009</v>
      </c>
      <c r="B291" s="1">
        <v>2024</v>
      </c>
      <c r="C291" s="1" t="s">
        <v>455</v>
      </c>
      <c r="D291" s="1">
        <v>25</v>
      </c>
      <c r="E291" s="1">
        <v>20</v>
      </c>
      <c r="F291" s="1">
        <v>50976</v>
      </c>
      <c r="G291" s="1">
        <v>28191</v>
      </c>
    </row>
    <row r="292" spans="1:7">
      <c r="A292" s="19">
        <v>74001</v>
      </c>
      <c r="B292" s="1">
        <v>2024</v>
      </c>
      <c r="C292" s="1" t="s">
        <v>456</v>
      </c>
      <c r="D292" s="1">
        <v>49</v>
      </c>
      <c r="E292" s="1">
        <v>44</v>
      </c>
      <c r="F292" s="1">
        <v>84941</v>
      </c>
      <c r="G292" s="1">
        <v>38794</v>
      </c>
    </row>
    <row r="293" spans="1:7">
      <c r="A293" s="19">
        <v>74003</v>
      </c>
      <c r="B293" s="1">
        <v>2024</v>
      </c>
      <c r="C293" s="1" t="s">
        <v>457</v>
      </c>
      <c r="D293" s="1">
        <v>59</v>
      </c>
      <c r="E293" s="1">
        <v>36</v>
      </c>
      <c r="F293" s="1">
        <v>108318</v>
      </c>
      <c r="G293" s="1">
        <v>52292</v>
      </c>
    </row>
    <row r="294" spans="1:7">
      <c r="A294" s="19">
        <v>75001</v>
      </c>
      <c r="B294" s="1">
        <v>2024</v>
      </c>
      <c r="C294" s="1" t="s">
        <v>458</v>
      </c>
      <c r="D294" s="1">
        <v>43</v>
      </c>
      <c r="E294" s="1">
        <v>51</v>
      </c>
      <c r="F294" s="1">
        <v>81099</v>
      </c>
      <c r="G294" s="1">
        <v>38580</v>
      </c>
    </row>
    <row r="295" spans="1:7">
      <c r="A295" s="19">
        <v>76001</v>
      </c>
      <c r="B295" s="1">
        <v>2024</v>
      </c>
      <c r="C295" s="1" t="s">
        <v>459</v>
      </c>
      <c r="D295" s="1">
        <v>66</v>
      </c>
      <c r="E295" s="1">
        <v>17</v>
      </c>
      <c r="F295" s="1">
        <v>72807</v>
      </c>
      <c r="G295" s="1">
        <v>40500</v>
      </c>
    </row>
    <row r="296" spans="1:7">
      <c r="A296" s="19">
        <v>77001</v>
      </c>
      <c r="B296" s="1">
        <v>2024</v>
      </c>
      <c r="C296" s="1" t="s">
        <v>460</v>
      </c>
      <c r="D296" s="1">
        <v>46</v>
      </c>
      <c r="E296" s="1">
        <v>63</v>
      </c>
      <c r="F296" s="1">
        <v>81359</v>
      </c>
      <c r="G296" s="1">
        <v>45724</v>
      </c>
    </row>
    <row r="297" spans="1:7">
      <c r="A297" s="19">
        <v>77002</v>
      </c>
      <c r="B297" s="1">
        <v>2024</v>
      </c>
      <c r="C297" s="1" t="s">
        <v>461</v>
      </c>
      <c r="D297" s="1">
        <v>50</v>
      </c>
      <c r="E297" s="1">
        <v>29</v>
      </c>
      <c r="F297" s="1">
        <v>73424</v>
      </c>
      <c r="G297" s="1">
        <v>32079</v>
      </c>
    </row>
    <row r="298" spans="1:7">
      <c r="A298" s="19">
        <v>78001</v>
      </c>
      <c r="B298" s="1">
        <v>2024</v>
      </c>
      <c r="C298" s="1" t="s">
        <v>462</v>
      </c>
      <c r="D298" s="1">
        <v>30</v>
      </c>
      <c r="E298" s="1">
        <v>26</v>
      </c>
      <c r="F298" s="1">
        <v>53241</v>
      </c>
      <c r="G298" s="1">
        <v>25667</v>
      </c>
    </row>
    <row r="299" spans="1:7">
      <c r="A299" s="19">
        <v>78002</v>
      </c>
      <c r="B299" s="1">
        <v>2024</v>
      </c>
      <c r="C299" s="1" t="s">
        <v>463</v>
      </c>
      <c r="D299" s="1">
        <v>27</v>
      </c>
      <c r="E299" s="1">
        <v>11</v>
      </c>
      <c r="F299" s="1">
        <v>39230</v>
      </c>
      <c r="G299" s="1">
        <v>25012</v>
      </c>
    </row>
    <row r="300" spans="1:7">
      <c r="A300" s="19">
        <v>79002</v>
      </c>
      <c r="B300" s="1">
        <v>2024</v>
      </c>
      <c r="C300" s="1" t="s">
        <v>464</v>
      </c>
      <c r="D300" s="1">
        <v>29</v>
      </c>
      <c r="E300" s="1">
        <v>25</v>
      </c>
      <c r="F300" s="1">
        <v>54153</v>
      </c>
      <c r="G300" s="1">
        <v>24123</v>
      </c>
    </row>
    <row r="301" spans="1:7">
      <c r="A301" s="19">
        <v>79003</v>
      </c>
      <c r="B301" s="1">
        <v>2024</v>
      </c>
      <c r="C301" s="1" t="s">
        <v>465</v>
      </c>
      <c r="D301" s="1">
        <v>106</v>
      </c>
      <c r="E301" s="1">
        <v>18</v>
      </c>
      <c r="F301" s="1">
        <v>144651</v>
      </c>
      <c r="G301" s="1">
        <v>47496</v>
      </c>
    </row>
    <row r="302" spans="1:7">
      <c r="A302" s="19">
        <v>80001</v>
      </c>
      <c r="B302" s="1">
        <v>2024</v>
      </c>
      <c r="C302" s="1" t="s">
        <v>466</v>
      </c>
      <c r="D302" s="1">
        <v>97</v>
      </c>
      <c r="E302" s="1">
        <v>81</v>
      </c>
      <c r="F302" s="1">
        <v>178489</v>
      </c>
      <c r="G302" s="1">
        <v>70144</v>
      </c>
    </row>
    <row r="303" spans="1:7">
      <c r="A303" s="19">
        <v>80002</v>
      </c>
      <c r="B303" s="1">
        <v>2024</v>
      </c>
      <c r="C303" s="1" t="s">
        <v>467</v>
      </c>
      <c r="D303" s="1">
        <v>60</v>
      </c>
      <c r="E303" s="1">
        <v>34</v>
      </c>
      <c r="F303" s="1">
        <v>116520</v>
      </c>
      <c r="G303" s="1">
        <v>54634</v>
      </c>
    </row>
    <row r="304" spans="1:7">
      <c r="A304" s="19">
        <v>80003</v>
      </c>
      <c r="B304" s="1">
        <v>2024</v>
      </c>
      <c r="C304" s="1" t="s">
        <v>468</v>
      </c>
      <c r="D304" s="1">
        <v>43</v>
      </c>
      <c r="E304" s="1">
        <v>30</v>
      </c>
      <c r="F304" s="1">
        <v>70203</v>
      </c>
      <c r="G304" s="1">
        <v>31986</v>
      </c>
    </row>
    <row r="305" spans="1:7">
      <c r="A305" s="19">
        <v>81001</v>
      </c>
      <c r="B305" s="1">
        <v>2024</v>
      </c>
      <c r="C305" s="1" t="s">
        <v>469</v>
      </c>
      <c r="D305" s="1">
        <v>33</v>
      </c>
      <c r="E305" s="1">
        <v>8</v>
      </c>
      <c r="F305" s="1">
        <v>48993</v>
      </c>
      <c r="G305" s="1">
        <v>20626</v>
      </c>
    </row>
    <row r="306" spans="1:7">
      <c r="A306" s="19">
        <v>81002</v>
      </c>
      <c r="B306" s="1">
        <v>2024</v>
      </c>
      <c r="C306" s="1" t="s">
        <v>470</v>
      </c>
      <c r="D306" s="1">
        <v>24</v>
      </c>
      <c r="E306" s="1">
        <v>30</v>
      </c>
      <c r="F306" s="1">
        <v>52986</v>
      </c>
      <c r="G306" s="1">
        <v>19209</v>
      </c>
    </row>
    <row r="307" spans="1:7">
      <c r="A307" s="19">
        <v>81003</v>
      </c>
      <c r="B307" s="1">
        <v>2024</v>
      </c>
      <c r="C307" s="1" t="s">
        <v>471</v>
      </c>
      <c r="D307" s="1">
        <v>24</v>
      </c>
      <c r="E307" s="1">
        <v>29</v>
      </c>
      <c r="F307" s="1">
        <v>36622</v>
      </c>
      <c r="G307" s="1">
        <v>29094</v>
      </c>
    </row>
    <row r="308" spans="1:7">
      <c r="A308" s="19">
        <v>82001</v>
      </c>
      <c r="B308" s="1">
        <v>2024</v>
      </c>
      <c r="C308" s="1" t="s">
        <v>472</v>
      </c>
      <c r="D308" s="1">
        <v>47</v>
      </c>
      <c r="E308" s="1">
        <v>10</v>
      </c>
      <c r="F308" s="1">
        <v>74519</v>
      </c>
      <c r="G308" s="1">
        <v>20554</v>
      </c>
    </row>
    <row r="309" spans="1:7">
      <c r="A309" s="19">
        <v>82002</v>
      </c>
      <c r="B309" s="1">
        <v>2024</v>
      </c>
      <c r="C309" s="1" t="s">
        <v>473</v>
      </c>
      <c r="D309" s="1">
        <v>23</v>
      </c>
      <c r="E309" s="1">
        <v>5</v>
      </c>
      <c r="F309" s="1">
        <v>43814</v>
      </c>
      <c r="G309" s="1">
        <v>17319</v>
      </c>
    </row>
    <row r="310" spans="1:7">
      <c r="A310" s="19">
        <v>82003</v>
      </c>
      <c r="B310" s="1">
        <v>2024</v>
      </c>
      <c r="C310" s="1" t="s">
        <v>474</v>
      </c>
      <c r="D310" s="1">
        <v>16</v>
      </c>
      <c r="E310" s="1">
        <v>7</v>
      </c>
      <c r="F310" s="1">
        <v>52066</v>
      </c>
      <c r="G310" s="1">
        <v>23624</v>
      </c>
    </row>
    <row r="311" spans="1:7">
      <c r="A311" s="19">
        <v>82005</v>
      </c>
      <c r="B311" s="1">
        <v>2024</v>
      </c>
      <c r="C311" s="1" t="s">
        <v>475</v>
      </c>
      <c r="D311" s="1">
        <v>44</v>
      </c>
      <c r="E311" s="1">
        <v>35</v>
      </c>
      <c r="F311" s="1">
        <v>103524</v>
      </c>
      <c r="G311" s="1">
        <v>14098</v>
      </c>
    </row>
    <row r="312" spans="1:7">
      <c r="A312" s="19">
        <v>82006</v>
      </c>
      <c r="B312" s="1">
        <v>2024</v>
      </c>
      <c r="C312" s="1" t="s">
        <v>476</v>
      </c>
      <c r="D312" s="1">
        <v>81</v>
      </c>
      <c r="E312" s="1">
        <v>36</v>
      </c>
      <c r="F312" s="1">
        <v>235937</v>
      </c>
      <c r="G312" s="1">
        <v>21396</v>
      </c>
    </row>
    <row r="313" spans="1:7">
      <c r="A313" s="19">
        <v>82007</v>
      </c>
      <c r="B313" s="1">
        <v>2024</v>
      </c>
      <c r="C313" s="1" t="s">
        <v>477</v>
      </c>
      <c r="D313" s="1">
        <v>141</v>
      </c>
      <c r="E313" s="1">
        <v>64</v>
      </c>
      <c r="F313" s="1">
        <v>187561</v>
      </c>
      <c r="G313" s="1">
        <v>72455</v>
      </c>
    </row>
    <row r="314" spans="1:7">
      <c r="A314" s="19">
        <v>82008</v>
      </c>
      <c r="B314" s="1">
        <v>2024</v>
      </c>
      <c r="C314" s="1" t="s">
        <v>478</v>
      </c>
      <c r="D314" s="1">
        <v>57</v>
      </c>
      <c r="E314" s="1">
        <v>43</v>
      </c>
      <c r="F314" s="1">
        <v>106824</v>
      </c>
      <c r="G314" s="1">
        <v>38636</v>
      </c>
    </row>
    <row r="315" spans="1:7">
      <c r="A315" s="19">
        <v>82009</v>
      </c>
      <c r="B315" s="1">
        <v>2024</v>
      </c>
      <c r="C315" s="1" t="s">
        <v>479</v>
      </c>
      <c r="D315" s="1">
        <v>54</v>
      </c>
      <c r="E315" s="1">
        <v>52</v>
      </c>
      <c r="F315" s="1">
        <v>75142</v>
      </c>
      <c r="G315" s="1">
        <v>31996</v>
      </c>
    </row>
    <row r="316" spans="1:7">
      <c r="A316" s="19">
        <v>83001</v>
      </c>
      <c r="B316" s="1">
        <v>2024</v>
      </c>
      <c r="C316" s="1" t="s">
        <v>480</v>
      </c>
      <c r="D316" s="1">
        <v>21</v>
      </c>
      <c r="E316" s="1">
        <v>14</v>
      </c>
      <c r="F316" s="1">
        <v>54231</v>
      </c>
      <c r="G316" s="1">
        <v>23906</v>
      </c>
    </row>
    <row r="317" spans="1:7">
      <c r="A317" s="19">
        <v>83002</v>
      </c>
      <c r="B317" s="1">
        <v>2024</v>
      </c>
      <c r="C317" s="1" t="s">
        <v>481</v>
      </c>
      <c r="D317" s="1">
        <v>34</v>
      </c>
      <c r="E317" s="1">
        <v>42</v>
      </c>
      <c r="F317" s="1">
        <v>60782</v>
      </c>
      <c r="G317" s="1">
        <v>38040</v>
      </c>
    </row>
    <row r="318" spans="1:7">
      <c r="A318" s="19">
        <v>84001</v>
      </c>
      <c r="B318" s="1">
        <v>2024</v>
      </c>
      <c r="C318" s="1" t="s">
        <v>482</v>
      </c>
      <c r="D318" s="1">
        <v>53</v>
      </c>
      <c r="E318" s="1">
        <v>14</v>
      </c>
      <c r="F318" s="1">
        <v>67734</v>
      </c>
      <c r="G318" s="1">
        <v>27993</v>
      </c>
    </row>
    <row r="319" spans="1:7">
      <c r="A319" s="19">
        <v>85001</v>
      </c>
      <c r="B319" s="1">
        <v>2024</v>
      </c>
      <c r="C319" s="1" t="s">
        <v>483</v>
      </c>
      <c r="D319" s="1">
        <v>33</v>
      </c>
      <c r="E319" s="1">
        <v>54</v>
      </c>
      <c r="F319" s="1">
        <v>68167</v>
      </c>
      <c r="G319" s="1">
        <v>45118</v>
      </c>
    </row>
    <row r="320" spans="1:7">
      <c r="A320" s="19">
        <v>85003</v>
      </c>
      <c r="B320" s="1">
        <v>2024</v>
      </c>
      <c r="C320" s="1" t="s">
        <v>484</v>
      </c>
      <c r="D320" s="1">
        <v>36</v>
      </c>
      <c r="E320" s="1">
        <v>57</v>
      </c>
      <c r="F320" s="1">
        <v>109837</v>
      </c>
      <c r="G320" s="1">
        <v>69630</v>
      </c>
    </row>
    <row r="321" spans="1:7">
      <c r="A321" s="19">
        <v>85005</v>
      </c>
      <c r="B321" s="1">
        <v>2024</v>
      </c>
      <c r="C321" s="1" t="s">
        <v>485</v>
      </c>
      <c r="D321" s="1">
        <v>74</v>
      </c>
      <c r="E321" s="1">
        <v>44</v>
      </c>
      <c r="F321" s="1">
        <v>142394</v>
      </c>
      <c r="G321" s="1">
        <v>61592</v>
      </c>
    </row>
    <row r="322" spans="1:7">
      <c r="A322" s="19">
        <v>85006</v>
      </c>
      <c r="B322" s="1">
        <v>2024</v>
      </c>
      <c r="C322" s="1" t="s">
        <v>486</v>
      </c>
      <c r="D322" s="1">
        <v>18</v>
      </c>
      <c r="E322" s="1">
        <v>9</v>
      </c>
      <c r="F322" s="1">
        <v>63057</v>
      </c>
      <c r="G322" s="1">
        <v>5087</v>
      </c>
    </row>
    <row r="323" spans="1:7">
      <c r="A323" s="19">
        <v>86001</v>
      </c>
      <c r="B323" s="1">
        <v>2024</v>
      </c>
      <c r="C323" s="1" t="s">
        <v>487</v>
      </c>
      <c r="D323" s="1">
        <v>19</v>
      </c>
      <c r="E323" s="1">
        <v>11</v>
      </c>
      <c r="F323" s="1">
        <v>52088</v>
      </c>
      <c r="G323" s="1">
        <v>21802</v>
      </c>
    </row>
    <row r="324" spans="1:7">
      <c r="A324" s="19">
        <v>86002</v>
      </c>
      <c r="B324" s="1">
        <v>2024</v>
      </c>
      <c r="C324" s="1" t="s">
        <v>488</v>
      </c>
      <c r="D324" s="1">
        <v>56</v>
      </c>
      <c r="E324" s="1">
        <v>32</v>
      </c>
      <c r="F324" s="1">
        <v>106856</v>
      </c>
      <c r="G324" s="1">
        <v>28142</v>
      </c>
    </row>
    <row r="325" spans="1:7">
      <c r="A325" s="19">
        <v>86003</v>
      </c>
      <c r="B325" s="1">
        <v>2024</v>
      </c>
      <c r="C325" s="1" t="s">
        <v>489</v>
      </c>
      <c r="D325" s="1">
        <v>82</v>
      </c>
      <c r="E325" s="1">
        <v>65</v>
      </c>
      <c r="F325" s="1">
        <v>178508</v>
      </c>
      <c r="G325" s="1">
        <v>57066</v>
      </c>
    </row>
    <row r="326" spans="1:7">
      <c r="A326" s="19">
        <v>86004</v>
      </c>
      <c r="B326" s="1">
        <v>2024</v>
      </c>
      <c r="C326" s="1" t="s">
        <v>490</v>
      </c>
      <c r="D326" s="1">
        <v>48</v>
      </c>
      <c r="E326" s="1">
        <v>35</v>
      </c>
      <c r="F326" s="1">
        <v>81663</v>
      </c>
      <c r="G326" s="1">
        <v>49302</v>
      </c>
    </row>
    <row r="327" spans="1:7">
      <c r="A327" s="19">
        <v>86005</v>
      </c>
      <c r="B327" s="1">
        <v>2024</v>
      </c>
      <c r="C327" s="1" t="s">
        <v>491</v>
      </c>
      <c r="D327" s="1">
        <v>29</v>
      </c>
      <c r="E327" s="1">
        <v>7</v>
      </c>
      <c r="F327" s="1">
        <v>52761</v>
      </c>
      <c r="G327" s="1">
        <v>16488</v>
      </c>
    </row>
    <row r="328" spans="1:7">
      <c r="A328" s="19">
        <v>86006</v>
      </c>
      <c r="B328" s="1">
        <v>2024</v>
      </c>
      <c r="C328" s="1" t="s">
        <v>492</v>
      </c>
      <c r="D328" s="1">
        <v>52</v>
      </c>
      <c r="E328" s="1">
        <v>35</v>
      </c>
      <c r="F328" s="1">
        <v>101352</v>
      </c>
      <c r="G328" s="1">
        <v>37665</v>
      </c>
    </row>
    <row r="329" spans="1:7">
      <c r="A329" s="19">
        <v>86007</v>
      </c>
      <c r="B329" s="1">
        <v>2024</v>
      </c>
      <c r="C329" s="1" t="s">
        <v>493</v>
      </c>
      <c r="D329" s="1">
        <v>33</v>
      </c>
      <c r="E329" s="1">
        <v>95</v>
      </c>
      <c r="F329" s="1">
        <v>87411</v>
      </c>
      <c r="G329" s="1">
        <v>49765</v>
      </c>
    </row>
    <row r="330" spans="1:7">
      <c r="A330" s="19">
        <v>87001</v>
      </c>
      <c r="B330" s="1">
        <v>2024</v>
      </c>
      <c r="C330" s="1" t="s">
        <v>494</v>
      </c>
      <c r="D330" s="1">
        <v>30</v>
      </c>
      <c r="E330" s="1">
        <v>17</v>
      </c>
      <c r="F330" s="1">
        <v>41741</v>
      </c>
      <c r="G330" s="1">
        <v>19086</v>
      </c>
    </row>
    <row r="331" spans="1:7">
      <c r="A331" s="19">
        <v>87002</v>
      </c>
      <c r="B331" s="1">
        <v>2024</v>
      </c>
      <c r="C331" s="1" t="s">
        <v>495</v>
      </c>
      <c r="D331" s="1">
        <v>38</v>
      </c>
      <c r="E331" s="1">
        <v>70</v>
      </c>
      <c r="F331" s="1">
        <v>69471</v>
      </c>
      <c r="G331" s="1">
        <v>2864</v>
      </c>
    </row>
    <row r="332" spans="1:7">
      <c r="A332" s="19">
        <v>87003</v>
      </c>
      <c r="B332" s="1">
        <v>2024</v>
      </c>
      <c r="C332" s="1" t="s">
        <v>496</v>
      </c>
      <c r="D332" s="1">
        <v>29</v>
      </c>
      <c r="E332" s="1">
        <v>23</v>
      </c>
      <c r="F332" s="1">
        <v>77491</v>
      </c>
      <c r="G332" s="1">
        <v>30544</v>
      </c>
    </row>
    <row r="333" spans="1:7">
      <c r="A333" s="19">
        <v>87007</v>
      </c>
      <c r="B333" s="1">
        <v>2024</v>
      </c>
      <c r="C333" s="1" t="s">
        <v>852</v>
      </c>
      <c r="D333" s="1">
        <v>41</v>
      </c>
      <c r="E333" s="1">
        <v>40</v>
      </c>
      <c r="F333" s="1">
        <v>76686</v>
      </c>
      <c r="G333" s="1">
        <v>50168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MN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Carlson, Heather M (DHS)</dc:creator>
  <cp:keywords/>
  <dc:description/>
  <cp:lastModifiedBy>Pignatello, Linnea (DLI)</cp:lastModifiedBy>
  <cp:revision/>
  <dcterms:created xsi:type="dcterms:W3CDTF">2025-07-14T15:38:47Z</dcterms:created>
  <dcterms:modified xsi:type="dcterms:W3CDTF">2025-10-15T15:36:31Z</dcterms:modified>
  <cp:category/>
  <cp:contentStatus/>
</cp:coreProperties>
</file>